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egistro Civil Teco\Desktop\RC  MENSUAL 2021 TRANSPARENCIA\RC ABRIL 2021\"/>
    </mc:Choice>
  </mc:AlternateContent>
  <xr:revisionPtr revIDLastSave="0" documentId="13_ncr:1_{987D537E-DAC6-4246-B93F-747B54A3304D}" xr6:coauthVersionLast="46" xr6:coauthVersionMax="46" xr10:uidLastSave="{00000000-0000-0000-0000-000000000000}"/>
  <bookViews>
    <workbookView xWindow="-120" yWindow="-120" windowWidth="19440" windowHeight="15000" tabRatio="690" firstSheet="9" activeTab="9" xr2:uid="{00000000-000D-0000-FFFF-FFFF00000000}"/>
  </bookViews>
  <sheets>
    <sheet name="Enero" sheetId="1" state="hidden" r:id="rId1"/>
    <sheet name="Febrero" sheetId="6" state="hidden" r:id="rId2"/>
    <sheet name="Marzo" sheetId="7" state="hidden" r:id="rId3"/>
    <sheet name="Abril" sheetId="8" state="hidden" r:id="rId4"/>
    <sheet name="Mayo" sheetId="9" state="hidden" r:id="rId5"/>
    <sheet name="Junio" sheetId="10" state="hidden" r:id="rId6"/>
    <sheet name="Julio" sheetId="11" state="hidden" r:id="rId7"/>
    <sheet name="Agosto" sheetId="12" state="hidden" r:id="rId8"/>
    <sheet name="Septiembre" sheetId="13" state="hidden" r:id="rId9"/>
    <sheet name="ABRIL 2021" sheetId="17" r:id="rId10"/>
  </sheets>
  <definedNames>
    <definedName name="AbrDom1">DATE(Año_Calendario,4,1)-WEEKDAY(DATE(Año_Calendario,4,1))+1</definedName>
    <definedName name="AgoDom1">DATE(Año_Calendario,8,1)-WEEKDAY(DATE(Año_Calendario,8,1))+1</definedName>
    <definedName name="Año_Calendario">Enero!$N$2</definedName>
    <definedName name="_xlnm.Print_Area" localSheetId="3">Abril!$A$1:$M$50</definedName>
    <definedName name="_xlnm.Print_Area" localSheetId="7">Agosto!$A$1:$M$50</definedName>
    <definedName name="_xlnm.Print_Area" localSheetId="0">Enero!$A$1:$M$50</definedName>
    <definedName name="_xlnm.Print_Area" localSheetId="1">Febrero!$A$1:$M$50</definedName>
    <definedName name="_xlnm.Print_Area" localSheetId="6">Julio!$A$1:$M$50</definedName>
    <definedName name="_xlnm.Print_Area" localSheetId="5">Junio!$A$1:$M$50</definedName>
    <definedName name="_xlnm.Print_Area" localSheetId="2">Marzo!$A$1:$M$50</definedName>
    <definedName name="_xlnm.Print_Area" localSheetId="4">Mayo!$A$1:$M$50</definedName>
    <definedName name="_xlnm.Print_Area" localSheetId="8">Septiembre!$A$1:$M$50</definedName>
    <definedName name="DíasDeTareas" localSheetId="3">Abril!$L$4:$L$33</definedName>
    <definedName name="DíasDeTareas" localSheetId="7">Agosto!$L$4:$L$33</definedName>
    <definedName name="DíasDeTareas" localSheetId="1">Febrero!$L$4:$L$33</definedName>
    <definedName name="DíasDeTareas" localSheetId="6">Julio!$L$4:$L$33</definedName>
    <definedName name="DíasDeTareas" localSheetId="5">Junio!$L$4:$L$33</definedName>
    <definedName name="DíasDeTareas" localSheetId="2">Marzo!$L$4:$L$33</definedName>
    <definedName name="DíasDeTareas" localSheetId="4">Mayo!$L$4:$L$33</definedName>
    <definedName name="DíasDeTareas" localSheetId="8">Septiembre!$L$4:$L$33</definedName>
    <definedName name="DíasDeTareas">Enero!$L$4:$L$33</definedName>
    <definedName name="DicDom1">DATE(Año_Calendario,12,1)-WEEKDAY(DATE(Año_Calendario,12,1))+1</definedName>
    <definedName name="FebDom1">DATE(Año_Calendario,2,1)-WEEKDAY(DATE(Año_Calendario,2,1))+1</definedName>
    <definedName name="JanSun1">DATE(Año_Calendario,1,1)-WEEKDAY(DATE(Año_Calendario,1,1))+1</definedName>
    <definedName name="JulDom1">DATE(Año_Calendario,7,1)-WEEKDAY(DATE(Año_Calendario,7,1))+1</definedName>
    <definedName name="JunDom1">DATE(Año_Calendario,6,1)-WEEKDAY(DATE(Año_Calendario,6,1))+1</definedName>
    <definedName name="MarDom1">DATE(Año_Calendario,3,1)-WEEKDAY(DATE(Año_Calendario,3,1))+1</definedName>
    <definedName name="MayDom1">DATE(Año_Calendario,5,1)-WEEKDAY(DATE(Año_Calendario,5,1))+1</definedName>
    <definedName name="NovDom1">DATE(Año_Calendario,11,1)-WEEKDAY(DATE(Año_Calendario,11,1))+1</definedName>
    <definedName name="OctDom1">DATE(Año_Calendario,10,1)-WEEKDAY(DATE(Año_Calendario,10,1))+1</definedName>
    <definedName name="SepDom1">DATE(Año_Calendario,9,1)-WEEKDAY(DATE(Año_Calendario,9,1))+1</definedName>
    <definedName name="TablaFechasImportantes" localSheetId="3">Abril!$L$4:$M$8</definedName>
    <definedName name="TablaFechasImportantes" localSheetId="7">Agosto!$L$4:$M$8</definedName>
    <definedName name="TablaFechasImportantes" localSheetId="1">Febrero!$L$4:$M$8</definedName>
    <definedName name="TablaFechasImportantes" localSheetId="6">Julio!$L$4:$M$8</definedName>
    <definedName name="TablaFechasImportantes" localSheetId="5">Junio!$L$4:$M$8</definedName>
    <definedName name="TablaFechasImportantes" localSheetId="2">Marzo!$L$4:$M$8</definedName>
    <definedName name="TablaFechasImportantes" localSheetId="4">Mayo!$L$4:$M$8</definedName>
    <definedName name="TablaFechasImportantes" localSheetId="8">Septiembre!$L$4:$M$8</definedName>
    <definedName name="TablaFechasImportantes">Enero!$L$4:$M$8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8" l="1"/>
  <c r="H9" i="8"/>
  <c r="G9" i="8"/>
  <c r="F9" i="8"/>
  <c r="E9" i="8"/>
  <c r="D9" i="8"/>
  <c r="C9" i="8"/>
  <c r="I8" i="8"/>
  <c r="H8" i="8"/>
  <c r="G8" i="8"/>
  <c r="F8" i="8"/>
  <c r="E8" i="8"/>
  <c r="D8" i="8"/>
  <c r="C8" i="8"/>
  <c r="I7" i="8"/>
  <c r="H7" i="8"/>
  <c r="G7" i="8"/>
  <c r="F7" i="8"/>
  <c r="E7" i="8"/>
  <c r="D7" i="8"/>
  <c r="C7" i="8"/>
  <c r="I6" i="8"/>
  <c r="H6" i="8"/>
  <c r="G6" i="8"/>
  <c r="F6" i="8"/>
  <c r="E6" i="8"/>
  <c r="D6" i="8"/>
  <c r="C6" i="8"/>
  <c r="I5" i="8"/>
  <c r="H5" i="8"/>
  <c r="G5" i="8"/>
  <c r="F5" i="8"/>
  <c r="E5" i="8"/>
  <c r="D5" i="8"/>
  <c r="C5" i="8"/>
  <c r="I4" i="8"/>
  <c r="H4" i="8"/>
  <c r="G4" i="8"/>
  <c r="F4" i="8"/>
  <c r="E4" i="8"/>
  <c r="D4" i="8"/>
  <c r="C4" i="8"/>
  <c r="I9" i="13"/>
  <c r="H9" i="13"/>
  <c r="G9" i="13"/>
  <c r="F9" i="13"/>
  <c r="E9" i="13"/>
  <c r="D9" i="13"/>
  <c r="C9" i="13"/>
  <c r="I8" i="13"/>
  <c r="H8" i="13"/>
  <c r="G8" i="13"/>
  <c r="F8" i="13"/>
  <c r="E8" i="13"/>
  <c r="D8" i="13"/>
  <c r="C8" i="13"/>
  <c r="I7" i="13"/>
  <c r="H7" i="13"/>
  <c r="G7" i="13"/>
  <c r="F7" i="13"/>
  <c r="E7" i="13"/>
  <c r="D7" i="13"/>
  <c r="C7" i="13"/>
  <c r="I6" i="13"/>
  <c r="H6" i="13"/>
  <c r="G6" i="13"/>
  <c r="F6" i="13"/>
  <c r="E6" i="13"/>
  <c r="D6" i="13"/>
  <c r="C6" i="13"/>
  <c r="I5" i="13"/>
  <c r="H5" i="13"/>
  <c r="G5" i="13"/>
  <c r="F5" i="13"/>
  <c r="E5" i="13"/>
  <c r="D5" i="13"/>
  <c r="C5" i="13"/>
  <c r="I4" i="13"/>
  <c r="H4" i="13"/>
  <c r="G4" i="13"/>
  <c r="F4" i="13"/>
  <c r="E4" i="13"/>
  <c r="D4" i="13"/>
  <c r="C4" i="13"/>
  <c r="I9" i="12"/>
  <c r="H9" i="12"/>
  <c r="G9" i="12"/>
  <c r="F9" i="12"/>
  <c r="E9" i="12"/>
  <c r="D9" i="12"/>
  <c r="C9" i="12"/>
  <c r="I8" i="12"/>
  <c r="H8" i="12"/>
  <c r="G8" i="12"/>
  <c r="F8" i="12"/>
  <c r="E8" i="12"/>
  <c r="D8" i="12"/>
  <c r="C8" i="12"/>
  <c r="I7" i="12"/>
  <c r="H7" i="12"/>
  <c r="G7" i="12"/>
  <c r="F7" i="12"/>
  <c r="E7" i="12"/>
  <c r="D7" i="12"/>
  <c r="C7" i="12"/>
  <c r="I6" i="12"/>
  <c r="H6" i="12"/>
  <c r="G6" i="12"/>
  <c r="F6" i="12"/>
  <c r="E6" i="12"/>
  <c r="D6" i="12"/>
  <c r="C6" i="12"/>
  <c r="I5" i="12"/>
  <c r="H5" i="12"/>
  <c r="G5" i="12"/>
  <c r="F5" i="12"/>
  <c r="E5" i="12"/>
  <c r="D5" i="12"/>
  <c r="C5" i="12"/>
  <c r="I4" i="12"/>
  <c r="H4" i="12"/>
  <c r="G4" i="12"/>
  <c r="F4" i="12"/>
  <c r="E4" i="12"/>
  <c r="D4" i="12"/>
  <c r="C4" i="12"/>
  <c r="I9" i="11"/>
  <c r="H9" i="11"/>
  <c r="G9" i="11"/>
  <c r="F9" i="11"/>
  <c r="E9" i="11"/>
  <c r="D9" i="11"/>
  <c r="C9" i="11"/>
  <c r="I8" i="11"/>
  <c r="H8" i="11"/>
  <c r="G8" i="11"/>
  <c r="F8" i="11"/>
  <c r="E8" i="11"/>
  <c r="D8" i="11"/>
  <c r="C8" i="11"/>
  <c r="I7" i="11"/>
  <c r="H7" i="11"/>
  <c r="G7" i="11"/>
  <c r="F7" i="11"/>
  <c r="E7" i="11"/>
  <c r="D7" i="11"/>
  <c r="C7" i="11"/>
  <c r="I6" i="11"/>
  <c r="H6" i="11"/>
  <c r="G6" i="11"/>
  <c r="F6" i="11"/>
  <c r="E6" i="11"/>
  <c r="D6" i="11"/>
  <c r="C6" i="11"/>
  <c r="I5" i="11"/>
  <c r="H5" i="11"/>
  <c r="G5" i="11"/>
  <c r="F5" i="11"/>
  <c r="E5" i="11"/>
  <c r="D5" i="11"/>
  <c r="C5" i="11"/>
  <c r="I4" i="11"/>
  <c r="H4" i="11"/>
  <c r="G4" i="11"/>
  <c r="F4" i="11"/>
  <c r="E4" i="11"/>
  <c r="D4" i="11"/>
  <c r="C4" i="11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I7" i="10"/>
  <c r="H7" i="10"/>
  <c r="G7" i="10"/>
  <c r="F7" i="10"/>
  <c r="E7" i="10"/>
  <c r="D7" i="10"/>
  <c r="C7" i="10"/>
  <c r="I6" i="10"/>
  <c r="H6" i="10"/>
  <c r="G6" i="10"/>
  <c r="F6" i="10"/>
  <c r="E6" i="10"/>
  <c r="D6" i="10"/>
  <c r="C6" i="10"/>
  <c r="I5" i="10"/>
  <c r="H5" i="10"/>
  <c r="G5" i="10"/>
  <c r="F5" i="10"/>
  <c r="E5" i="10"/>
  <c r="D5" i="10"/>
  <c r="C5" i="10"/>
  <c r="I4" i="10"/>
  <c r="H4" i="10"/>
  <c r="G4" i="10"/>
  <c r="F4" i="10"/>
  <c r="E4" i="10"/>
  <c r="D4" i="10"/>
  <c r="C4" i="10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  <c r="I6" i="9"/>
  <c r="H6" i="9"/>
  <c r="G6" i="9"/>
  <c r="F6" i="9"/>
  <c r="E6" i="9"/>
  <c r="D6" i="9"/>
  <c r="C6" i="9"/>
  <c r="I5" i="9"/>
  <c r="H5" i="9"/>
  <c r="G5" i="9"/>
  <c r="F5" i="9"/>
  <c r="E5" i="9"/>
  <c r="D5" i="9"/>
  <c r="C5" i="9"/>
  <c r="I4" i="9"/>
  <c r="H4" i="9"/>
  <c r="G4" i="9"/>
  <c r="F4" i="9"/>
  <c r="E4" i="9"/>
  <c r="D4" i="9"/>
  <c r="C4" i="9"/>
  <c r="I9" i="7"/>
  <c r="H9" i="7"/>
  <c r="G9" i="7"/>
  <c r="F9" i="7"/>
  <c r="E9" i="7"/>
  <c r="D9" i="7"/>
  <c r="C9" i="7"/>
  <c r="I8" i="7"/>
  <c r="H8" i="7"/>
  <c r="G8" i="7"/>
  <c r="F8" i="7"/>
  <c r="E8" i="7"/>
  <c r="D8" i="7"/>
  <c r="C8" i="7"/>
  <c r="I7" i="7"/>
  <c r="H7" i="7"/>
  <c r="G7" i="7"/>
  <c r="F7" i="7"/>
  <c r="E7" i="7"/>
  <c r="D7" i="7"/>
  <c r="C7" i="7"/>
  <c r="I6" i="7"/>
  <c r="H6" i="7"/>
  <c r="G6" i="7"/>
  <c r="F6" i="7"/>
  <c r="E6" i="7"/>
  <c r="D6" i="7"/>
  <c r="C6" i="7"/>
  <c r="I5" i="7"/>
  <c r="H5" i="7"/>
  <c r="G5" i="7"/>
  <c r="F5" i="7"/>
  <c r="E5" i="7"/>
  <c r="D5" i="7"/>
  <c r="C5" i="7"/>
  <c r="I4" i="7"/>
  <c r="H4" i="7"/>
  <c r="G4" i="7"/>
  <c r="F4" i="7"/>
  <c r="E4" i="7"/>
  <c r="D4" i="7"/>
  <c r="C4" i="7"/>
  <c r="I9" i="6"/>
  <c r="H9" i="6"/>
  <c r="G9" i="6"/>
  <c r="F9" i="6"/>
  <c r="E9" i="6"/>
  <c r="D9" i="6"/>
  <c r="C9" i="6"/>
  <c r="I8" i="6"/>
  <c r="H8" i="6"/>
  <c r="G8" i="6"/>
  <c r="F8" i="6"/>
  <c r="E8" i="6"/>
  <c r="D8" i="6"/>
  <c r="C8" i="6"/>
  <c r="I7" i="6"/>
  <c r="H7" i="6"/>
  <c r="G7" i="6"/>
  <c r="F7" i="6"/>
  <c r="E7" i="6"/>
  <c r="D7" i="6"/>
  <c r="C7" i="6"/>
  <c r="I6" i="6"/>
  <c r="H6" i="6"/>
  <c r="G6" i="6"/>
  <c r="F6" i="6"/>
  <c r="E6" i="6"/>
  <c r="D6" i="6"/>
  <c r="C6" i="6"/>
  <c r="I5" i="6"/>
  <c r="H5" i="6"/>
  <c r="G5" i="6"/>
  <c r="F5" i="6"/>
  <c r="E5" i="6"/>
  <c r="D5" i="6"/>
  <c r="C5" i="6"/>
  <c r="I4" i="6"/>
  <c r="H4" i="6"/>
  <c r="G4" i="6"/>
  <c r="F4" i="6"/>
  <c r="E4" i="6"/>
  <c r="D4" i="6"/>
  <c r="C4" i="6"/>
  <c r="H4" i="1" l="1"/>
  <c r="I9" i="1" l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<sst xmlns="http://schemas.openxmlformats.org/spreadsheetml/2006/main" count="203" uniqueCount="37">
  <si>
    <t>S</t>
  </si>
  <si>
    <t>M</t>
  </si>
  <si>
    <t>8:00</t>
  </si>
  <si>
    <t>TAREAS</t>
  </si>
  <si>
    <t>ENERO</t>
  </si>
  <si>
    <t>L</t>
  </si>
  <si>
    <t>X</t>
  </si>
  <si>
    <t>J</t>
  </si>
  <si>
    <t>V</t>
  </si>
  <si>
    <t>D</t>
  </si>
  <si>
    <t>HORARIO SEMANAL</t>
  </si>
  <si>
    <t>LUN</t>
  </si>
  <si>
    <t>MAR</t>
  </si>
  <si>
    <t>MIÉ</t>
  </si>
  <si>
    <t>JUE</t>
  </si>
  <si>
    <t>VIE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</si>
  <si>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</si>
  <si>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</si>
  <si>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</si>
  <si>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</si>
  <si>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</si>
  <si>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</si>
  <si>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</si>
  <si>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</si>
  <si>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ACTIVIDADES MENSUALES</t>
  </si>
  <si>
    <t>NOTAS</t>
  </si>
  <si>
    <t>ARTICULO 8, FRACCION VI, INCISO H</t>
  </si>
  <si>
    <t>ACTIVIDADES SEMANALES</t>
  </si>
  <si>
    <t>ELABORAR INFORME PARA EL CENTRO DE SALUD</t>
  </si>
  <si>
    <t>ACTIVIDADES COTIDIANAS</t>
  </si>
  <si>
    <t>CAMPAÑA DE REGISTROS EXTEMPORANEOS TODO EL AÑO.</t>
  </si>
  <si>
    <t xml:space="preserve">REGISTRO CIVIL     AGENDA DIARIA </t>
  </si>
  <si>
    <t>CRISTOBAL DE OVEJO No. 37.       349 77 6 06 91</t>
  </si>
  <si>
    <t>REMITIR INFORMES A LAS SIGUIENTES DEPENDENCIAS;CENTRO DE SALUD;  D.G.R.C.; R.E.N.A.P.O.; I.N.E.G.I; I.N.E.; TRANSPARENCIA; SUBIR INFORMACIÓN A LA PNT.</t>
  </si>
  <si>
    <r>
      <t xml:space="preserve">    </t>
    </r>
    <r>
      <rPr>
        <b/>
        <sz val="13"/>
        <color theme="1"/>
        <rFont val="Gill Sans MT"/>
        <family val="2"/>
        <scheme val="minor"/>
      </rPr>
      <t>SERVICIO DE LUNES A VIERNES</t>
    </r>
    <r>
      <rPr>
        <b/>
        <sz val="11"/>
        <color theme="1"/>
        <rFont val="Gill Sans MT"/>
        <family val="2"/>
        <scheme val="minor"/>
      </rPr>
      <t xml:space="preserve">            </t>
    </r>
    <r>
      <rPr>
        <b/>
        <sz val="14"/>
        <color theme="1"/>
        <rFont val="Gill Sans MT"/>
        <family val="2"/>
        <scheme val="minor"/>
      </rPr>
      <t>DE 09:00 A 15:00 HORAS</t>
    </r>
  </si>
  <si>
    <r>
      <rPr>
        <b/>
        <sz val="14"/>
        <color theme="5" tint="-0.249977111117893"/>
        <rFont val="Arial Narrow"/>
        <family val="2"/>
      </rPr>
      <t xml:space="preserve"> </t>
    </r>
    <r>
      <rPr>
        <b/>
        <sz val="12"/>
        <color rgb="FFC00000"/>
        <rFont val="Arial Black"/>
        <family val="2"/>
      </rPr>
      <t xml:space="preserve">LA CAMPAÑA DE REGISTROS EXTEMPORANEOS ES GRATUITA </t>
    </r>
    <r>
      <rPr>
        <b/>
        <sz val="14"/>
        <color rgb="FFC00000"/>
        <rFont val="Arial Narrow"/>
        <family val="2"/>
      </rPr>
      <t xml:space="preserve"> </t>
    </r>
    <r>
      <rPr>
        <b/>
        <sz val="14"/>
        <color theme="5" tint="-0.249977111117893"/>
        <rFont val="Arial Narrow"/>
        <family val="2"/>
      </rPr>
      <t xml:space="preserve">                                                      </t>
    </r>
    <r>
      <rPr>
        <b/>
        <sz val="14"/>
        <color theme="5" tint="-0.249977111117893"/>
        <rFont val="Arial Black"/>
        <family val="2"/>
      </rPr>
      <t>* 1 Y 2</t>
    </r>
    <r>
      <rPr>
        <b/>
        <sz val="14"/>
        <color theme="5" tint="-0.249977111117893"/>
        <rFont val="Arial Narrow"/>
        <family val="2"/>
      </rPr>
      <t xml:space="preserve">  </t>
    </r>
    <r>
      <rPr>
        <b/>
        <sz val="14"/>
        <color theme="1"/>
        <rFont val="Arial Black"/>
        <family val="2"/>
      </rPr>
      <t>NO SE LABORÓ.</t>
    </r>
    <r>
      <rPr>
        <b/>
        <sz val="14"/>
        <color theme="1"/>
        <rFont val="Arial Narrow"/>
        <family val="2"/>
      </rPr>
      <t xml:space="preserve">                                                                                                                 LOS  </t>
    </r>
    <r>
      <rPr>
        <b/>
        <sz val="14"/>
        <color theme="5" tint="-0.499984740745262"/>
        <rFont val="Arial Black"/>
        <family val="2"/>
      </rPr>
      <t>DÍAS</t>
    </r>
    <r>
      <rPr>
        <b/>
        <sz val="14"/>
        <color theme="1"/>
        <rFont val="Arial Black"/>
        <family val="2"/>
      </rPr>
      <t xml:space="preserve"> </t>
    </r>
    <r>
      <rPr>
        <b/>
        <u/>
        <sz val="14"/>
        <color theme="5" tint="-0.499984740745262"/>
        <rFont val="Arial Black"/>
        <family val="2"/>
      </rPr>
      <t xml:space="preserve">2, 10,17 Y 24 </t>
    </r>
    <r>
      <rPr>
        <b/>
        <sz val="14"/>
        <color theme="1"/>
        <rFont val="Arial Narrow"/>
        <family val="2"/>
      </rPr>
      <t xml:space="preserve"> SE REGISTRARON ACTAS DE DEFUNCION.                                                                                                                                              EN EL PRESENTE MES NO SE REPORTAN ACTIVIDADES EXTRAORDINARIAS.</t>
    </r>
  </si>
  <si>
    <t>* REGISTRO DE ACTAS DE : NACIMIENTO, ADOPCION,  DEFUNCION,  MATRIMONIO, DIVORCIO, RECONOCIMIENTOS E INSCRIPCIONES DE ACTAS EN SU NUEVA MODALIDAD.                                                                                 * BUSQUEDA, CAPTURA Y EXPEDICION DE ACTAS DEL MUNICIPIO,  DEL ESTADO DE JALISCO Y DE           LA  REPUBLICA MEXICANA.                                                                                                                                          * REVISAR, SELLAR, FOLIAR Y  ESCANEAR  DOCUMENTOS.                                                                                                                                                                 * REALIZAR ANOTACIONES  MARGINALES Y AVISOS POR MATRIMONIOS,  DIVORCIOS Y DEFUNCIONES,  TANTO DE OFICIALÍAS COMO DE JUZGADOS.                                                                                                                            * ARCHIVAR.                                                                                                                                                                             * CONTESTAR SOLICITUDES DE TRANSPARENCIA.                                                                                         * CONSTANCIAS DE INEXISTENCIA.                                                                                                                     * SOLICITUD Y RESOLUCION DE ACLARACION ADMINISTRATIVA DE ACTAS.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</si>
</sst>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"/>
  </numFmts>
  <fonts count="50">
    <font>
      <sz val="10"/>
      <color theme="1"/>
      <name val="Gill Sans MT"/>
      <family val="2"/>
      <scheme val="minor"/>
    </font>
    <font>
      <sz val="12"/>
      <color rgb="FF002060"/>
      <name val="Gill Sans MT"/>
      <family val="2"/>
      <scheme val="minor"/>
    </font>
    <font>
      <sz val="8"/>
      <name val="Gill Sans MT"/>
      <family val="2"/>
      <scheme val="minor"/>
    </font>
    <font>
      <b/>
      <sz val="11"/>
      <color theme="0"/>
      <name val="Gill Sans MT"/>
      <family val="2"/>
      <scheme val="minor"/>
    </font>
    <font>
      <sz val="11"/>
      <name val="Gill Sans MT"/>
      <family val="2"/>
      <scheme val="minor"/>
    </font>
    <font>
      <sz val="10"/>
      <color indexed="63"/>
      <name val="Gill Sans MT"/>
      <family val="4"/>
      <scheme val="minor"/>
    </font>
    <font>
      <b/>
      <sz val="28"/>
      <color theme="1" tint="0.34998626667073579"/>
      <name val="Gill Sans MT"/>
      <family val="2"/>
      <scheme val="minor"/>
    </font>
    <font>
      <sz val="12"/>
      <color theme="4"/>
      <name val="Gill Sans MT"/>
      <family val="2"/>
      <scheme val="major"/>
    </font>
    <font>
      <sz val="10"/>
      <color theme="1"/>
      <name val="Gill Sans MT"/>
      <family val="2"/>
      <scheme val="major"/>
    </font>
    <font>
      <b/>
      <sz val="12"/>
      <color theme="4"/>
      <name val="Gill Sans MT"/>
      <family val="2"/>
      <scheme val="major"/>
    </font>
    <font>
      <b/>
      <sz val="10"/>
      <color theme="1"/>
      <name val="Gill Sans MT"/>
      <family val="2"/>
      <scheme val="minor"/>
    </font>
    <font>
      <b/>
      <sz val="12"/>
      <color theme="4"/>
      <name val="Gill Sans MT"/>
      <family val="2"/>
      <scheme val="minor"/>
    </font>
    <font>
      <sz val="10"/>
      <color theme="0"/>
      <name val="Gill Sans MT"/>
      <family val="2"/>
      <scheme val="minor"/>
    </font>
    <font>
      <b/>
      <sz val="17"/>
      <color theme="4"/>
      <name val="Gill Sans MT"/>
      <family val="4"/>
      <scheme val="minor"/>
    </font>
    <font>
      <b/>
      <sz val="8.5"/>
      <color theme="1"/>
      <name val="Gill Sans MT"/>
      <family val="2"/>
      <scheme val="minor"/>
    </font>
    <font>
      <sz val="8.5"/>
      <color theme="1"/>
      <name val="Gill Sans MT"/>
      <family val="2"/>
      <scheme val="minor"/>
    </font>
    <font>
      <b/>
      <sz val="17"/>
      <color theme="4"/>
      <name val="Gill Sans MT"/>
      <family val="2"/>
      <scheme val="major"/>
    </font>
    <font>
      <b/>
      <sz val="8.5"/>
      <color theme="1"/>
      <name val="Gill Sans MT"/>
      <family val="2"/>
      <scheme val="major"/>
    </font>
    <font>
      <sz val="10"/>
      <color theme="1" tint="0.249977111117893"/>
      <name val="Gill Sans MT"/>
      <family val="2"/>
      <scheme val="minor"/>
    </font>
    <font>
      <sz val="12"/>
      <color theme="1" tint="0.249977111117893"/>
      <name val="Gill Sans MT"/>
      <family val="2"/>
      <scheme val="minor"/>
    </font>
    <font>
      <sz val="10.5"/>
      <color theme="1" tint="0.249977111117893"/>
      <name val="Gill Sans MT"/>
      <family val="2"/>
      <scheme val="minor"/>
    </font>
    <font>
      <b/>
      <sz val="10.5"/>
      <name val="Gill Sans MT"/>
      <family val="2"/>
      <scheme val="minor"/>
    </font>
    <font>
      <b/>
      <sz val="24"/>
      <color theme="4"/>
      <name val="Gill Sans MT"/>
      <family val="2"/>
      <scheme val="major"/>
    </font>
    <font>
      <b/>
      <sz val="14"/>
      <color theme="1"/>
      <name val="Gill Sans MT"/>
      <family val="2"/>
      <scheme val="minor"/>
    </font>
    <font>
      <sz val="16"/>
      <color theme="1"/>
      <name val="Gill Sans MT"/>
      <family val="2"/>
      <scheme val="minor"/>
    </font>
    <font>
      <b/>
      <sz val="18"/>
      <color theme="1"/>
      <name val="Gill Sans MT"/>
      <family val="2"/>
      <scheme val="minor"/>
    </font>
    <font>
      <b/>
      <sz val="16"/>
      <color theme="1"/>
      <name val="Gill Sans MT"/>
      <family val="2"/>
      <scheme val="minor"/>
    </font>
    <font>
      <sz val="36"/>
      <color theme="8" tint="-0.499984740745262"/>
      <name val="Gill Sans MT"/>
      <family val="2"/>
      <scheme val="minor"/>
    </font>
    <font>
      <b/>
      <sz val="24"/>
      <color rgb="FFA40C29"/>
      <name val="Baroneys Textured"/>
    </font>
    <font>
      <sz val="36"/>
      <color rgb="FFF03C96"/>
      <name val="Gill Sans MT"/>
      <family val="2"/>
      <scheme val="minor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Gill Sans MT"/>
      <family val="2"/>
      <scheme val="minor"/>
    </font>
    <font>
      <b/>
      <sz val="14"/>
      <color theme="5" tint="-0.249977111117893"/>
      <name val="Gill Sans MT"/>
      <family val="2"/>
      <scheme val="minor"/>
    </font>
    <font>
      <b/>
      <sz val="14"/>
      <color theme="4" tint="-0.499984740745262"/>
      <name val="Gill Sans MT"/>
      <family val="2"/>
      <scheme val="major"/>
    </font>
    <font>
      <b/>
      <sz val="14"/>
      <color theme="4" tint="-0.499984740745262"/>
      <name val="Gill Sans MT"/>
      <family val="2"/>
      <scheme val="minor"/>
    </font>
    <font>
      <b/>
      <sz val="14"/>
      <color theme="4" tint="-0.499984740745262"/>
      <name val="Baroneys Textured"/>
    </font>
    <font>
      <b/>
      <sz val="11"/>
      <color theme="1"/>
      <name val="Gill Sans MT"/>
      <family val="2"/>
      <scheme val="minor"/>
    </font>
    <font>
      <b/>
      <sz val="14"/>
      <color theme="4" tint="-0.499984740745262"/>
      <name val="Rockwell Extra Bold"/>
      <family val="1"/>
    </font>
    <font>
      <b/>
      <sz val="13"/>
      <color theme="1"/>
      <name val="Gill Sans MT"/>
      <family val="2"/>
      <scheme val="minor"/>
    </font>
    <font>
      <b/>
      <sz val="14"/>
      <color theme="5" tint="-0.249977111117893"/>
      <name val="Arial Narrow"/>
      <family val="2"/>
    </font>
    <font>
      <b/>
      <sz val="12"/>
      <color rgb="FFC00000"/>
      <name val="Arial Black"/>
      <family val="2"/>
    </font>
    <font>
      <b/>
      <sz val="14"/>
      <color rgb="FFC00000"/>
      <name val="Arial Narrow"/>
      <family val="2"/>
    </font>
    <font>
      <b/>
      <sz val="14"/>
      <color theme="5" tint="-0.249977111117893"/>
      <name val="Arial Black"/>
      <family val="2"/>
    </font>
    <font>
      <b/>
      <sz val="16"/>
      <color theme="5" tint="-0.499984740745262"/>
      <name val="Gill Sans MT"/>
      <family val="2"/>
      <scheme val="minor"/>
    </font>
    <font>
      <b/>
      <sz val="16"/>
      <color theme="4" tint="-0.249977111117893"/>
      <name val="Gill Sans MT"/>
      <family val="2"/>
      <scheme val="minor"/>
    </font>
    <font>
      <b/>
      <sz val="14"/>
      <color theme="5" tint="-0.499984740745262"/>
      <name val="Arial Black"/>
      <family val="2"/>
    </font>
    <font>
      <b/>
      <sz val="14"/>
      <color theme="1"/>
      <name val="Arial Black"/>
      <family val="2"/>
    </font>
    <font>
      <b/>
      <u/>
      <sz val="14"/>
      <color theme="5" tint="-0.499984740745262"/>
      <name val="Arial Black"/>
      <family val="2"/>
    </font>
    <font>
      <b/>
      <sz val="12"/>
      <color theme="4" tint="-0.499984740745262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  <border>
      <left/>
      <right/>
      <top/>
      <bottom style="thick">
        <color theme="7" tint="-0.499984740745262"/>
      </bottom>
      <diagonal/>
    </border>
    <border>
      <left/>
      <right/>
      <top style="thick">
        <color theme="7" tint="-0.499984740745262"/>
      </top>
      <bottom/>
      <diagonal/>
    </border>
    <border>
      <left/>
      <right style="thick">
        <color theme="7" tint="-0.499984740745262"/>
      </right>
      <top/>
      <bottom/>
      <diagonal/>
    </border>
    <border>
      <left style="thick">
        <color theme="7" tint="-0.499984740745262"/>
      </left>
      <right style="thick">
        <color theme="7" tint="-0.499984740745262"/>
      </right>
      <top style="thick">
        <color theme="7" tint="-0.499984740745262"/>
      </top>
      <bottom style="thick">
        <color theme="7" tint="-0.499984740745262"/>
      </bottom>
      <diagonal/>
    </border>
    <border>
      <left style="thick">
        <color theme="7" tint="-0.499984740745262"/>
      </left>
      <right/>
      <top style="thick">
        <color theme="7" tint="-0.499984740745262"/>
      </top>
      <bottom/>
      <diagonal/>
    </border>
    <border>
      <left/>
      <right style="thick">
        <color theme="7" tint="-0.499984740745262"/>
      </right>
      <top style="thick">
        <color theme="7" tint="-0.499984740745262"/>
      </top>
      <bottom/>
      <diagonal/>
    </border>
    <border>
      <left style="thick">
        <color theme="7" tint="-0.499984740745262"/>
      </left>
      <right/>
      <top/>
      <bottom/>
      <diagonal/>
    </border>
    <border>
      <left style="thick">
        <color theme="7" tint="-0.499984740745262"/>
      </left>
      <right/>
      <top/>
      <bottom style="thick">
        <color theme="7" tint="-0.499984740745262"/>
      </bottom>
      <diagonal/>
    </border>
    <border>
      <left/>
      <right style="thick">
        <color theme="7" tint="-0.499984740745262"/>
      </right>
      <top/>
      <bottom style="thick">
        <color theme="7" tint="-0.499984740745262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 style="medium">
        <color rgb="FF002060"/>
      </left>
      <right/>
      <top/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rgb="FF002060"/>
      </right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/>
      <diagonal/>
    </border>
    <border>
      <left style="medium">
        <color theme="7" tint="-0.499984740745262"/>
      </left>
      <right/>
      <top/>
      <bottom/>
      <diagonal/>
    </border>
    <border>
      <left/>
      <right style="medium">
        <color theme="7" tint="-0.499984740745262"/>
      </right>
      <top/>
      <bottom/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 style="medium">
        <color theme="7" tint="-0.499984740745262"/>
      </left>
      <right/>
      <top/>
      <bottom style="medium">
        <color theme="7" tint="-0.499984740745262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/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 style="medium">
        <color theme="7" tint="-0.499984740745262"/>
      </top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  <border>
      <left/>
      <right style="medium">
        <color theme="7" tint="-0.499984740745262"/>
      </right>
      <top style="medium">
        <color theme="7" tint="-0.499984740745262"/>
      </top>
      <bottom style="medium">
        <color theme="7" tint="-0.499984740745262"/>
      </bottom>
      <diagonal/>
    </border>
    <border>
      <left/>
      <right/>
      <top style="medium">
        <color theme="8" tint="-0.499984740745262"/>
      </top>
      <bottom/>
      <diagonal/>
    </border>
    <border>
      <left style="medium">
        <color rgb="FF002060"/>
      </left>
      <right/>
      <top style="medium">
        <color theme="8" tint="-0.499984740745262"/>
      </top>
      <bottom/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7" tint="-0.499984740745262"/>
      </left>
      <right style="medium">
        <color theme="7" tint="-0.499984740745262"/>
      </right>
      <top style="thick">
        <color theme="7" tint="-0.499984740745262"/>
      </top>
      <bottom style="medium">
        <color theme="7" tint="-0.499984740745262"/>
      </bottom>
      <diagonal/>
    </border>
    <border>
      <left style="medium">
        <color theme="7" tint="-0.499984740745262"/>
      </left>
      <right style="medium">
        <color theme="7" tint="-0.499984740745262"/>
      </right>
      <top style="medium">
        <color theme="7" tint="-0.499984740745262"/>
      </top>
      <bottom style="thick">
        <color theme="7" tint="-0.499984740745262"/>
      </bottom>
      <diagonal/>
    </border>
    <border>
      <left style="thick">
        <color theme="7" tint="-0.499984740745262"/>
      </left>
      <right style="medium">
        <color theme="7" tint="-0.499984740745262"/>
      </right>
      <top style="thick">
        <color theme="7" tint="-0.499984740745262"/>
      </top>
      <bottom style="medium">
        <color theme="7" tint="-0.499984740745262"/>
      </bottom>
      <diagonal/>
    </border>
    <border>
      <left style="thick">
        <color theme="7" tint="-0.499984740745262"/>
      </left>
      <right style="medium">
        <color theme="7" tint="-0.499984740745262"/>
      </right>
      <top style="medium">
        <color theme="7" tint="-0.499984740745262"/>
      </top>
      <bottom style="thick">
        <color theme="7" tint="-0.499984740745262"/>
      </bottom>
      <diagonal/>
    </border>
    <border>
      <left style="medium">
        <color theme="7" tint="-0.499984740745262"/>
      </left>
      <right style="thick">
        <color theme="7" tint="-0.499984740745262"/>
      </right>
      <top style="thick">
        <color theme="7" tint="-0.499984740745262"/>
      </top>
      <bottom style="medium">
        <color theme="7" tint="-0.499984740745262"/>
      </bottom>
      <diagonal/>
    </border>
    <border>
      <left style="medium">
        <color theme="7" tint="-0.499984740745262"/>
      </left>
      <right style="thick">
        <color theme="7" tint="-0.499984740745262"/>
      </right>
      <top style="medium">
        <color theme="7" tint="-0.499984740745262"/>
      </top>
      <bottom style="thick">
        <color theme="7" tint="-0.499984740745262"/>
      </bottom>
      <diagonal/>
    </border>
  </borders>
  <cellStyleXfs count="5">
    <xf numFmtId="0" fontId="0" fillId="0" borderId="0"/>
    <xf numFmtId="0" fontId="4" fillId="0" borderId="0"/>
    <xf numFmtId="0" fontId="3" fillId="2" borderId="1" applyNumberFormat="0" applyAlignment="0" applyProtection="0"/>
    <xf numFmtId="0" fontId="5" fillId="3" borderId="0" applyNumberFormat="0" applyBorder="0" applyAlignment="0" applyProtection="0"/>
    <xf numFmtId="0" fontId="6" fillId="0" borderId="0" applyNumberFormat="0" applyFill="0" applyAlignment="0" applyProtection="0"/>
  </cellStyleXfs>
  <cellXfs count="163">
    <xf numFmtId="0" fontId="0" fillId="0" borderId="0" xfId="0"/>
    <xf numFmtId="0" fontId="0" fillId="0" borderId="0" xfId="0" applyFont="1"/>
    <xf numFmtId="0" fontId="8" fillId="0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indent="1"/>
    </xf>
    <xf numFmtId="0" fontId="0" fillId="0" borderId="9" xfId="0" applyFont="1" applyBorder="1"/>
    <xf numFmtId="0" fontId="0" fillId="0" borderId="16" xfId="0" applyFont="1" applyBorder="1"/>
    <xf numFmtId="0" fontId="15" fillId="5" borderId="21" xfId="0" applyFont="1" applyFill="1" applyBorder="1" applyAlignment="1">
      <alignment horizontal="left" vertical="top" indent="1"/>
    </xf>
    <xf numFmtId="0" fontId="15" fillId="5" borderId="11" xfId="0" applyFont="1" applyFill="1" applyBorder="1" applyAlignment="1">
      <alignment horizontal="left" vertical="top" indent="1"/>
    </xf>
    <xf numFmtId="49" fontId="14" fillId="5" borderId="8" xfId="0" applyNumberFormat="1" applyFont="1" applyFill="1" applyBorder="1" applyAlignment="1">
      <alignment horizontal="left" indent="1"/>
    </xf>
    <xf numFmtId="49" fontId="14" fillId="5" borderId="24" xfId="0" applyNumberFormat="1" applyFont="1" applyFill="1" applyBorder="1" applyAlignment="1">
      <alignment horizontal="left" indent="1"/>
    </xf>
    <xf numFmtId="164" fontId="2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textRotation="90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textRotation="90"/>
    </xf>
    <xf numFmtId="164" fontId="1" fillId="0" borderId="14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0" fontId="0" fillId="0" borderId="40" xfId="0" applyFont="1" applyBorder="1"/>
    <xf numFmtId="0" fontId="0" fillId="0" borderId="41" xfId="0" applyFont="1" applyBorder="1"/>
    <xf numFmtId="164" fontId="21" fillId="0" borderId="14" xfId="0" applyNumberFormat="1" applyFont="1" applyFill="1" applyBorder="1" applyAlignment="1">
      <alignment horizontal="left" vertical="center" wrapText="1" indent="1"/>
    </xf>
    <xf numFmtId="0" fontId="0" fillId="0" borderId="15" xfId="0" applyFont="1" applyBorder="1"/>
    <xf numFmtId="0" fontId="0" fillId="0" borderId="43" xfId="0" applyFont="1" applyBorder="1"/>
    <xf numFmtId="0" fontId="0" fillId="0" borderId="44" xfId="0" applyFont="1" applyBorder="1"/>
    <xf numFmtId="0" fontId="0" fillId="0" borderId="0" xfId="0" applyBorder="1"/>
    <xf numFmtId="0" fontId="23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24" fillId="0" borderId="0" xfId="0" applyFont="1" applyBorder="1" applyAlignment="1">
      <alignment horizontal="center" vertical="top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5" fillId="0" borderId="0" xfId="0" applyFont="1" applyBorder="1" applyAlignment="1">
      <alignment vertical="center" textRotation="90"/>
    </xf>
    <xf numFmtId="0" fontId="26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1" fillId="0" borderId="54" xfId="0" applyFont="1" applyBorder="1" applyAlignment="1">
      <alignment vertical="center" wrapText="1"/>
    </xf>
    <xf numFmtId="0" fontId="24" fillId="0" borderId="49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0" fillId="0" borderId="56" xfId="0" applyBorder="1"/>
    <xf numFmtId="0" fontId="30" fillId="0" borderId="55" xfId="0" applyFont="1" applyBorder="1" applyAlignment="1">
      <alignment horizontal="center" vertical="center" wrapText="1"/>
    </xf>
    <xf numFmtId="0" fontId="0" fillId="0" borderId="58" xfId="0" applyBorder="1"/>
    <xf numFmtId="0" fontId="33" fillId="6" borderId="48" xfId="0" applyFont="1" applyFill="1" applyBorder="1" applyAlignment="1">
      <alignment horizontal="center" vertical="center"/>
    </xf>
    <xf numFmtId="0" fontId="31" fillId="0" borderId="70" xfId="0" applyFont="1" applyBorder="1" applyAlignment="1">
      <alignment vertical="center" wrapText="1"/>
    </xf>
    <xf numFmtId="0" fontId="31" fillId="0" borderId="61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24" fillId="0" borderId="51" xfId="0" applyFont="1" applyBorder="1" applyAlignment="1">
      <alignment horizontal="center" vertical="top"/>
    </xf>
    <xf numFmtId="0" fontId="44" fillId="7" borderId="46" xfId="0" applyFont="1" applyFill="1" applyBorder="1" applyAlignment="1">
      <alignment horizontal="center" vertical="center"/>
    </xf>
    <xf numFmtId="0" fontId="44" fillId="8" borderId="47" xfId="0" applyFont="1" applyFill="1" applyBorder="1" applyAlignment="1">
      <alignment horizontal="center" vertical="center"/>
    </xf>
    <xf numFmtId="0" fontId="45" fillId="8" borderId="47" xfId="0" applyFont="1" applyFill="1" applyBorder="1" applyAlignment="1">
      <alignment horizontal="center" vertical="center"/>
    </xf>
    <xf numFmtId="0" fontId="44" fillId="8" borderId="46" xfId="0" applyFont="1" applyFill="1" applyBorder="1" applyAlignment="1">
      <alignment horizontal="center" vertical="center"/>
    </xf>
    <xf numFmtId="0" fontId="44" fillId="0" borderId="51" xfId="0" applyFont="1" applyBorder="1" applyAlignment="1">
      <alignment horizontal="center" vertical="center"/>
    </xf>
    <xf numFmtId="0" fontId="44" fillId="0" borderId="52" xfId="0" applyFont="1" applyFill="1" applyBorder="1" applyAlignment="1">
      <alignment horizontal="center" vertical="center"/>
    </xf>
    <xf numFmtId="0" fontId="44" fillId="0" borderId="50" xfId="0" applyFont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 textRotation="90"/>
    </xf>
    <xf numFmtId="0" fontId="22" fillId="0" borderId="7" xfId="0" applyFont="1" applyFill="1" applyBorder="1" applyAlignment="1">
      <alignment horizontal="center" vertical="center" textRotation="90"/>
    </xf>
    <xf numFmtId="0" fontId="22" fillId="0" borderId="42" xfId="0" applyFont="1" applyFill="1" applyBorder="1" applyAlignment="1">
      <alignment horizontal="center" vertical="center" textRotation="90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8" fillId="0" borderId="3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164" fontId="19" fillId="0" borderId="5" xfId="0" applyNumberFormat="1" applyFont="1" applyFill="1" applyBorder="1" applyAlignment="1">
      <alignment horizontal="left"/>
    </xf>
    <xf numFmtId="164" fontId="19" fillId="0" borderId="20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49" fontId="14" fillId="5" borderId="10" xfId="0" applyNumberFormat="1" applyFont="1" applyFill="1" applyBorder="1" applyAlignment="1">
      <alignment horizontal="left" indent="1"/>
    </xf>
    <xf numFmtId="49" fontId="14" fillId="5" borderId="6" xfId="0" applyNumberFormat="1" applyFont="1" applyFill="1" applyBorder="1" applyAlignment="1">
      <alignment horizontal="left" indent="1"/>
    </xf>
    <xf numFmtId="0" fontId="15" fillId="5" borderId="22" xfId="0" applyFont="1" applyFill="1" applyBorder="1" applyAlignment="1">
      <alignment horizontal="left" vertical="top" indent="1"/>
    </xf>
    <xf numFmtId="0" fontId="15" fillId="5" borderId="23" xfId="0" applyFont="1" applyFill="1" applyBorder="1" applyAlignment="1">
      <alignment horizontal="left" vertical="top" indent="1"/>
    </xf>
    <xf numFmtId="0" fontId="15" fillId="5" borderId="12" xfId="0" applyFont="1" applyFill="1" applyBorder="1" applyAlignment="1">
      <alignment horizontal="left" vertical="top" indent="1"/>
    </xf>
    <xf numFmtId="0" fontId="15" fillId="5" borderId="13" xfId="0" applyFont="1" applyFill="1" applyBorder="1" applyAlignment="1">
      <alignment horizontal="left" vertical="top" indent="1"/>
    </xf>
    <xf numFmtId="49" fontId="17" fillId="5" borderId="10" xfId="0" applyNumberFormat="1" applyFont="1" applyFill="1" applyBorder="1" applyAlignment="1">
      <alignment horizontal="left" indent="1"/>
    </xf>
    <xf numFmtId="49" fontId="17" fillId="5" borderId="16" xfId="0" applyNumberFormat="1" applyFont="1" applyFill="1" applyBorder="1" applyAlignment="1">
      <alignment horizontal="left" indent="1"/>
    </xf>
    <xf numFmtId="0" fontId="15" fillId="5" borderId="27" xfId="0" applyFont="1" applyFill="1" applyBorder="1" applyAlignment="1">
      <alignment horizontal="left" vertical="top" indent="1"/>
    </xf>
    <xf numFmtId="49" fontId="14" fillId="5" borderId="10" xfId="0" applyNumberFormat="1" applyFont="1" applyFill="1" applyBorder="1" applyAlignment="1">
      <alignment horizontal="left" vertical="center" indent="1"/>
    </xf>
    <xf numFmtId="49" fontId="14" fillId="5" borderId="16" xfId="0" applyNumberFormat="1" applyFont="1" applyFill="1" applyBorder="1" applyAlignment="1">
      <alignment horizontal="left" vertical="center" indent="1"/>
    </xf>
    <xf numFmtId="164" fontId="15" fillId="5" borderId="12" xfId="0" applyNumberFormat="1" applyFont="1" applyFill="1" applyBorder="1" applyAlignment="1">
      <alignment horizontal="left" vertical="top" indent="1"/>
    </xf>
    <xf numFmtId="164" fontId="15" fillId="5" borderId="15" xfId="0" applyNumberFormat="1" applyFont="1" applyFill="1" applyBorder="1" applyAlignment="1">
      <alignment horizontal="left" vertical="top" indent="1"/>
    </xf>
    <xf numFmtId="164" fontId="15" fillId="5" borderId="22" xfId="0" applyNumberFormat="1" applyFont="1" applyFill="1" applyBorder="1" applyAlignment="1">
      <alignment horizontal="left" vertical="top" indent="1"/>
    </xf>
    <xf numFmtId="164" fontId="15" fillId="5" borderId="27" xfId="0" applyNumberFormat="1" applyFont="1" applyFill="1" applyBorder="1" applyAlignment="1">
      <alignment horizontal="left" vertical="top" indent="1"/>
    </xf>
    <xf numFmtId="49" fontId="14" fillId="5" borderId="16" xfId="0" applyNumberFormat="1" applyFont="1" applyFill="1" applyBorder="1" applyAlignment="1">
      <alignment horizontal="left" indent="1"/>
    </xf>
    <xf numFmtId="0" fontId="17" fillId="5" borderId="22" xfId="0" applyFont="1" applyFill="1" applyBorder="1" applyAlignment="1">
      <alignment horizontal="left" vertical="top" indent="1"/>
    </xf>
    <xf numFmtId="0" fontId="17" fillId="5" borderId="27" xfId="0" applyFont="1" applyFill="1" applyBorder="1" applyAlignment="1">
      <alignment horizontal="left" vertical="top" indent="1"/>
    </xf>
    <xf numFmtId="49" fontId="14" fillId="5" borderId="25" xfId="0" applyNumberFormat="1" applyFont="1" applyFill="1" applyBorder="1" applyAlignment="1">
      <alignment horizontal="left" indent="1"/>
    </xf>
    <xf numFmtId="49" fontId="14" fillId="5" borderId="26" xfId="0" applyNumberFormat="1" applyFont="1" applyFill="1" applyBorder="1" applyAlignment="1">
      <alignment horizontal="left" indent="1"/>
    </xf>
    <xf numFmtId="49" fontId="14" fillId="5" borderId="28" xfId="0" applyNumberFormat="1" applyFont="1" applyFill="1" applyBorder="1" applyAlignment="1">
      <alignment horizontal="left" indent="1"/>
    </xf>
    <xf numFmtId="0" fontId="9" fillId="0" borderId="3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12" fillId="4" borderId="10" xfId="0" applyFont="1" applyFill="1" applyBorder="1" applyAlignment="1">
      <alignment horizontal="left" indent="1"/>
    </xf>
    <xf numFmtId="0" fontId="12" fillId="4" borderId="16" xfId="0" applyFont="1" applyFill="1" applyBorder="1" applyAlignment="1">
      <alignment horizontal="left" indent="1"/>
    </xf>
    <xf numFmtId="0" fontId="12" fillId="4" borderId="6" xfId="0" applyFont="1" applyFill="1" applyBorder="1" applyAlignment="1">
      <alignment horizontal="left" indent="1"/>
    </xf>
    <xf numFmtId="0" fontId="16" fillId="0" borderId="33" xfId="0" applyFont="1" applyBorder="1" applyAlignment="1">
      <alignment horizontal="left" vertical="center" indent="2"/>
    </xf>
    <xf numFmtId="0" fontId="16" fillId="0" borderId="34" xfId="0" applyFont="1" applyBorder="1" applyAlignment="1">
      <alignment horizontal="left" vertical="center" indent="2"/>
    </xf>
    <xf numFmtId="0" fontId="16" fillId="0" borderId="30" xfId="0" applyFont="1" applyBorder="1" applyAlignment="1">
      <alignment horizontal="left" vertical="center" indent="2"/>
    </xf>
    <xf numFmtId="0" fontId="16" fillId="0" borderId="31" xfId="0" applyFont="1" applyBorder="1" applyAlignment="1">
      <alignment horizontal="left" vertical="center" indent="2"/>
    </xf>
    <xf numFmtId="0" fontId="9" fillId="0" borderId="33" xfId="0" applyFont="1" applyBorder="1" applyAlignment="1">
      <alignment horizontal="right" vertical="center" textRotation="90"/>
    </xf>
    <xf numFmtId="0" fontId="18" fillId="0" borderId="37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13" fillId="0" borderId="35" xfId="0" applyFont="1" applyFill="1" applyBorder="1" applyAlignment="1">
      <alignment vertical="center"/>
    </xf>
    <xf numFmtId="0" fontId="13" fillId="0" borderId="32" xfId="0" applyFont="1" applyFill="1" applyBorder="1" applyAlignment="1">
      <alignment vertical="center"/>
    </xf>
    <xf numFmtId="0" fontId="9" fillId="0" borderId="36" xfId="0" applyFont="1" applyBorder="1" applyAlignment="1">
      <alignment vertical="center" textRotation="90"/>
    </xf>
    <xf numFmtId="0" fontId="9" fillId="0" borderId="29" xfId="0" applyFont="1" applyBorder="1" applyAlignment="1">
      <alignment vertical="center" textRotation="90"/>
    </xf>
    <xf numFmtId="0" fontId="30" fillId="0" borderId="79" xfId="0" applyFont="1" applyBorder="1" applyAlignment="1">
      <alignment horizontal="center" vertical="center" wrapText="1"/>
    </xf>
    <xf numFmtId="0" fontId="30" fillId="0" borderId="74" xfId="0" applyFont="1" applyBorder="1" applyAlignment="1">
      <alignment horizontal="center" vertical="center" wrapText="1"/>
    </xf>
    <xf numFmtId="0" fontId="30" fillId="0" borderId="80" xfId="0" applyFont="1" applyBorder="1" applyAlignment="1">
      <alignment horizontal="center" vertical="center" wrapText="1"/>
    </xf>
    <xf numFmtId="0" fontId="30" fillId="0" borderId="75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76" xfId="0" applyFont="1" applyBorder="1" applyAlignment="1">
      <alignment horizontal="center" vertical="center" wrapText="1"/>
    </xf>
    <xf numFmtId="0" fontId="30" fillId="0" borderId="78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 wrapText="1"/>
    </xf>
    <xf numFmtId="0" fontId="30" fillId="0" borderId="7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5" fillId="6" borderId="63" xfId="0" applyFont="1" applyFill="1" applyBorder="1" applyAlignment="1">
      <alignment horizontal="center" vertical="center"/>
    </xf>
    <xf numFmtId="0" fontId="35" fillId="6" borderId="64" xfId="0" applyFont="1" applyFill="1" applyBorder="1" applyAlignment="1">
      <alignment horizontal="center" vertical="center"/>
    </xf>
    <xf numFmtId="0" fontId="35" fillId="6" borderId="65" xfId="0" applyFont="1" applyFill="1" applyBorder="1" applyAlignment="1">
      <alignment horizontal="center" vertical="center"/>
    </xf>
    <xf numFmtId="0" fontId="35" fillId="6" borderId="81" xfId="0" applyFont="1" applyFill="1" applyBorder="1" applyAlignment="1">
      <alignment horizontal="center" vertical="center"/>
    </xf>
    <xf numFmtId="0" fontId="35" fillId="6" borderId="82" xfId="0" applyFont="1" applyFill="1" applyBorder="1" applyAlignment="1">
      <alignment horizontal="center" vertical="center"/>
    </xf>
    <xf numFmtId="0" fontId="35" fillId="6" borderId="83" xfId="0" applyFont="1" applyFill="1" applyBorder="1" applyAlignment="1">
      <alignment horizontal="center" vertical="center"/>
    </xf>
    <xf numFmtId="0" fontId="34" fillId="6" borderId="66" xfId="0" applyFont="1" applyFill="1" applyBorder="1" applyAlignment="1">
      <alignment horizontal="center" vertical="center" wrapText="1"/>
    </xf>
    <xf numFmtId="0" fontId="34" fillId="6" borderId="67" xfId="0" applyFont="1" applyFill="1" applyBorder="1" applyAlignment="1">
      <alignment horizontal="center" vertical="center" wrapText="1"/>
    </xf>
    <xf numFmtId="0" fontId="34" fillId="6" borderId="68" xfId="0" applyFont="1" applyFill="1" applyBorder="1" applyAlignment="1">
      <alignment horizontal="center" vertical="center" wrapText="1"/>
    </xf>
    <xf numFmtId="0" fontId="34" fillId="6" borderId="69" xfId="0" applyFont="1" applyFill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 wrapText="1"/>
    </xf>
    <xf numFmtId="0" fontId="31" fillId="0" borderId="71" xfId="0" applyFont="1" applyBorder="1" applyAlignment="1">
      <alignment horizontal="center" vertical="center" wrapText="1"/>
    </xf>
    <xf numFmtId="0" fontId="31" fillId="0" borderId="72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49" fontId="37" fillId="0" borderId="0" xfId="0" applyNumberFormat="1" applyFont="1" applyBorder="1" applyAlignment="1">
      <alignment horizontal="center" vertical="center" wrapText="1"/>
    </xf>
    <xf numFmtId="49" fontId="49" fillId="0" borderId="89" xfId="0" applyNumberFormat="1" applyFont="1" applyBorder="1" applyAlignment="1">
      <alignment horizontal="center" vertical="center" wrapText="1"/>
    </xf>
    <xf numFmtId="49" fontId="49" fillId="0" borderId="87" xfId="0" applyNumberFormat="1" applyFont="1" applyBorder="1" applyAlignment="1">
      <alignment horizontal="center" vertical="center" wrapText="1"/>
    </xf>
    <xf numFmtId="49" fontId="49" fillId="0" borderId="91" xfId="0" applyNumberFormat="1" applyFont="1" applyBorder="1" applyAlignment="1">
      <alignment horizontal="center" vertical="center" wrapText="1"/>
    </xf>
    <xf numFmtId="49" fontId="49" fillId="0" borderId="90" xfId="0" applyNumberFormat="1" applyFont="1" applyBorder="1" applyAlignment="1">
      <alignment horizontal="center" vertical="center" wrapText="1"/>
    </xf>
    <xf numFmtId="49" fontId="49" fillId="0" borderId="88" xfId="0" applyNumberFormat="1" applyFont="1" applyBorder="1" applyAlignment="1">
      <alignment horizontal="center" vertical="center" wrapText="1"/>
    </xf>
    <xf numFmtId="49" fontId="49" fillId="0" borderId="92" xfId="0" applyNumberFormat="1" applyFont="1" applyBorder="1" applyAlignment="1">
      <alignment horizontal="center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9" fontId="32" fillId="0" borderId="0" xfId="0" applyNumberFormat="1" applyFont="1" applyBorder="1" applyAlignment="1">
      <alignment horizontal="center" vertical="center" wrapText="1"/>
    </xf>
    <xf numFmtId="0" fontId="31" fillId="0" borderId="79" xfId="0" applyFont="1" applyBorder="1" applyAlignment="1">
      <alignment horizontal="left" vertical="center" wrapText="1"/>
    </xf>
    <xf numFmtId="0" fontId="31" fillId="0" borderId="74" xfId="0" applyFont="1" applyBorder="1" applyAlignment="1">
      <alignment horizontal="left" vertical="center" wrapText="1"/>
    </xf>
    <xf numFmtId="0" fontId="31" fillId="0" borderId="80" xfId="0" applyFont="1" applyBorder="1" applyAlignment="1">
      <alignment horizontal="left" vertical="center" wrapText="1"/>
    </xf>
    <xf numFmtId="0" fontId="31" fillId="0" borderId="75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76" xfId="0" applyFont="1" applyBorder="1" applyAlignment="1">
      <alignment horizontal="left" vertical="center" wrapText="1"/>
    </xf>
    <xf numFmtId="0" fontId="31" fillId="0" borderId="78" xfId="0" applyFont="1" applyBorder="1" applyAlignment="1">
      <alignment horizontal="left" vertical="center" wrapText="1"/>
    </xf>
    <xf numFmtId="0" fontId="31" fillId="0" borderId="72" xfId="0" applyFont="1" applyBorder="1" applyAlignment="1">
      <alignment horizontal="left" vertical="center" wrapText="1"/>
    </xf>
    <xf numFmtId="0" fontId="31" fillId="0" borderId="77" xfId="0" applyFont="1" applyBorder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5" fillId="6" borderId="85" xfId="0" applyFont="1" applyFill="1" applyBorder="1" applyAlignment="1">
      <alignment horizontal="center" vertical="center"/>
    </xf>
    <xf numFmtId="0" fontId="35" fillId="6" borderId="84" xfId="0" applyFont="1" applyFill="1" applyBorder="1" applyAlignment="1">
      <alignment horizontal="center" vertical="center"/>
    </xf>
    <xf numFmtId="0" fontId="35" fillId="6" borderId="86" xfId="0" applyFont="1" applyFill="1" applyBorder="1" applyAlignment="1">
      <alignment horizontal="center" vertical="center"/>
    </xf>
  </cellXfs>
  <cellStyles count="5">
    <cellStyle name="40% - Accent1 2" xfId="3" xr:uid="{00000000-0005-0000-0000-000000000000}"/>
    <cellStyle name="Accent1 2" xfId="2" xr:uid="{00000000-0005-0000-0000-000001000000}"/>
    <cellStyle name="Heading 1 2" xfId="4" xr:uid="{00000000-0005-0000-0000-000002000000}"/>
    <cellStyle name="Normal" xfId="0" builtinId="0" customBuiltin="1"/>
    <cellStyle name="Normal 2" xfId="1" xr:uid="{00000000-0005-0000-0000-000004000000}"/>
  </cellStyles>
  <dxfs count="47"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 xr9:uid="{00000000-0011-0000-FFFF-FFFF00000000}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firstColumnStripe" dxfId="40"/>
    </tableStyle>
    <tableStyle name="TableStyleLight9 2" pivot="0" count="4" xr9:uid="{00000000-0011-0000-FFFF-FFFF01000000}">
      <tableStyleElement type="wholeTable" dxfId="39"/>
      <tableStyleElement type="headerRow" dxfId="38"/>
      <tableStyleElement type="totalRow" dxfId="37"/>
      <tableStyleElement type="firstColumn" dxfId="36"/>
    </tableStyle>
  </tableStyles>
  <colors>
    <mruColors>
      <color rgb="FF99FF33"/>
      <color rgb="FF99CC00"/>
      <color rgb="FFFB97E1"/>
      <color rgb="FF99FF99"/>
      <color rgb="FFE4FDBF"/>
      <color rgb="FFFF9900"/>
      <color rgb="FF99FF66"/>
      <color rgb="FFFF0066"/>
      <color rgb="FFFF33CC"/>
      <color rgb="FFF03C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pin" dx="16" fmlaLink="$N$2" max="2999" min="1900" page="10" val="2018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</xdr:row>
      <xdr:rowOff>28575</xdr:rowOff>
    </xdr:from>
    <xdr:to>
      <xdr:col>18</xdr:col>
      <xdr:colOff>552450</xdr:colOff>
      <xdr:row>2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639300" y="171450"/>
          <a:ext cx="2286000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1">
              <a:solidFill>
                <a:schemeClr val="accent1"/>
              </a:solidFill>
            </a:rPr>
            <a:t>Haga clic en el control de número para cambiar</a:t>
          </a:r>
          <a:r>
            <a:rPr lang="en-US" sz="1000" b="1" baseline="0">
              <a:solidFill>
                <a:schemeClr val="accent1"/>
              </a:solidFill>
            </a:rPr>
            <a:t> el año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</xdr:row>
          <xdr:rowOff>85725</xdr:rowOff>
        </xdr:from>
        <xdr:to>
          <xdr:col>15</xdr:col>
          <xdr:colOff>0</xdr:colOff>
          <xdr:row>2</xdr:row>
          <xdr:rowOff>161925</xdr:rowOff>
        </xdr:to>
        <xdr:sp macro="" textlink="">
          <xdr:nvSpPr>
            <xdr:cNvPr id="1025" name="Spinner 1" descr="Spinner control. Use spinner to change calendar year or type desired year in cell L2 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352424</xdr:colOff>
      <xdr:row>1</xdr:row>
      <xdr:rowOff>103743</xdr:rowOff>
    </xdr:from>
    <xdr:to>
      <xdr:col>5</xdr:col>
      <xdr:colOff>89023</xdr:colOff>
      <xdr:row>6</xdr:row>
      <xdr:rowOff>9526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18" b="25284"/>
        <a:stretch/>
      </xdr:blipFill>
      <xdr:spPr bwMode="auto">
        <a:xfrm rot="21001427">
          <a:off x="352424" y="313293"/>
          <a:ext cx="1984499" cy="848758"/>
        </a:xfrm>
        <a:prstGeom prst="ellipse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410493</xdr:colOff>
      <xdr:row>4</xdr:row>
      <xdr:rowOff>72873</xdr:rowOff>
    </xdr:from>
    <xdr:ext cx="3809081" cy="31214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829718" y="996798"/>
          <a:ext cx="3809081" cy="3121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prstTxWarp prst="textArchUp">
            <a:avLst/>
          </a:prstTxWarp>
          <a:spAutoFit/>
        </a:bodyPr>
        <a:lstStyle/>
        <a:p>
          <a:pPr algn="ctr"/>
          <a:r>
            <a:rPr lang="es-MX" sz="2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glow rad="101600">
                  <a:schemeClr val="accent2">
                    <a:satMod val="175000"/>
                    <a:alpha val="40000"/>
                  </a:schemeClr>
                </a:glow>
                <a:outerShdw blurRad="75057" dist="38100" dir="5400000" sy="-20000" rotWithShape="0">
                  <a:prstClr val="black">
                    <a:alpha val="25000"/>
                  </a:prstClr>
                </a:outerShdw>
              </a:effectLst>
              <a:latin typeface="Cagakara" pitchFamily="50" charset="0"/>
            </a:rPr>
            <a:t>ABRIL  2021</a:t>
          </a:r>
        </a:p>
        <a:p>
          <a:pPr algn="ctr"/>
          <a:r>
            <a:rPr lang="es-MX" sz="2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glow rad="101600">
                  <a:schemeClr val="accent2">
                    <a:satMod val="175000"/>
                    <a:alpha val="40000"/>
                  </a:schemeClr>
                </a:glow>
                <a:outerShdw blurRad="75057" dist="38100" dir="5400000" sy="-20000" rotWithShape="0">
                  <a:prstClr val="black">
                    <a:alpha val="25000"/>
                  </a:prstClr>
                </a:outerShdw>
              </a:effectLst>
              <a:latin typeface="Cagakara" pitchFamily="50" charset="0"/>
            </a:rPr>
            <a:t> </a:t>
          </a:r>
          <a:endParaRPr lang="es-MX" sz="2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glow rad="101600">
                <a:schemeClr val="accent2">
                  <a:satMod val="175000"/>
                  <a:alpha val="40000"/>
                </a:schemeClr>
              </a:glow>
              <a:outerShdw blurRad="75057" dist="38100" dir="5400000" sy="-20000" rotWithShape="0">
                <a:prstClr val="black">
                  <a:alpha val="25000"/>
                </a:prstClr>
              </a:outerShdw>
            </a:effectLst>
            <a:latin typeface="Cagakara" pitchFamily="50" charset="0"/>
          </a:endParaRPr>
        </a:p>
      </xdr:txBody>
    </xdr:sp>
    <xdr:clientData/>
  </xdr:oneCellAnchor>
  <xdr:twoCellAnchor editAs="oneCell">
    <xdr:from>
      <xdr:col>11</xdr:col>
      <xdr:colOff>91950</xdr:colOff>
      <xdr:row>1</xdr:row>
      <xdr:rowOff>151367</xdr:rowOff>
    </xdr:from>
    <xdr:to>
      <xdr:col>14</xdr:col>
      <xdr:colOff>57149</xdr:colOff>
      <xdr:row>6</xdr:row>
      <xdr:rowOff>57150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18" b="25284"/>
        <a:stretch/>
      </xdr:blipFill>
      <xdr:spPr bwMode="auto">
        <a:xfrm rot="567535" flipH="1">
          <a:off x="5035425" y="360917"/>
          <a:ext cx="1984499" cy="848758"/>
        </a:xfrm>
        <a:prstGeom prst="ellipse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Galería">
  <a:themeElements>
    <a:clrScheme name="Galería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Galería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ería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43000" r="43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AO33"/>
  <sheetViews>
    <sheetView showGridLines="0" topLeftCell="A16" zoomScaleNormal="100" zoomScalePageLayoutView="84" workbookViewId="0">
      <selection activeCell="K34" sqref="K34:K35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0" t="s">
        <v>4</v>
      </c>
      <c r="C2" s="21"/>
      <c r="D2" s="21"/>
      <c r="E2" s="21"/>
      <c r="F2" s="21"/>
      <c r="G2" s="21"/>
      <c r="H2" s="21"/>
      <c r="I2" s="21"/>
      <c r="J2" s="22"/>
      <c r="K2" s="100" t="s">
        <v>3</v>
      </c>
      <c r="L2" s="101">
        <v>2013</v>
      </c>
      <c r="M2" s="101"/>
      <c r="N2" s="107">
        <v>2018</v>
      </c>
    </row>
    <row r="3" spans="1:14" ht="21" customHeight="1">
      <c r="A3" s="4"/>
      <c r="B3" s="61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2"/>
      <c r="L3" s="103"/>
      <c r="M3" s="103"/>
      <c r="N3" s="108"/>
    </row>
    <row r="4" spans="1:14" ht="18" customHeight="1">
      <c r="A4" s="4"/>
      <c r="B4" s="61"/>
      <c r="C4" s="10">
        <f>IF(DAY(JanSun1)=1,JanSun1-6,JanSun1+1)</f>
        <v>43101</v>
      </c>
      <c r="D4" s="10">
        <f>IF(DAY(JanSun1)=1,JanSun1-5,JanSun1+2)</f>
        <v>43102</v>
      </c>
      <c r="E4" s="10">
        <f>IF(DAY(JanSun1)=1,JanSun1-4,JanSun1+3)</f>
        <v>43103</v>
      </c>
      <c r="F4" s="10">
        <f>IF(DAY(JanSun1)=1,JanSun1-3,JanSun1+4)</f>
        <v>43104</v>
      </c>
      <c r="G4" s="10">
        <f>IF(DAY(JanSun1)=1,JanSun1-2,JanSun1+5)</f>
        <v>43105</v>
      </c>
      <c r="H4" s="10">
        <f>IF(DAY(JanSun1)=1,JanSun1-1,JanSun1+6)</f>
        <v>43106</v>
      </c>
      <c r="I4" s="10">
        <f>IF(DAY(JanSun1)=1,JanSun1,JanSun1+7)</f>
        <v>43107</v>
      </c>
      <c r="J4" s="5"/>
      <c r="K4" s="104" t="s">
        <v>11</v>
      </c>
      <c r="L4" s="16">
        <v>3</v>
      </c>
      <c r="M4" s="105"/>
      <c r="N4" s="106"/>
    </row>
    <row r="5" spans="1:14" ht="18" customHeight="1">
      <c r="A5" s="4"/>
      <c r="B5" s="61"/>
      <c r="C5" s="10">
        <f>IF(DAY(JanSun1)=1,JanSun1+1,JanSun1+8)</f>
        <v>43108</v>
      </c>
      <c r="D5" s="10">
        <f>IF(DAY(JanSun1)=1,JanSun1+2,JanSun1+9)</f>
        <v>43109</v>
      </c>
      <c r="E5" s="10">
        <f>IF(DAY(JanSun1)=1,JanSun1+3,JanSun1+10)</f>
        <v>43110</v>
      </c>
      <c r="F5" s="10">
        <f>IF(DAY(JanSun1)=1,JanSun1+4,JanSun1+11)</f>
        <v>43111</v>
      </c>
      <c r="G5" s="10">
        <f>IF(DAY(JanSun1)=1,JanSun1+5,JanSun1+12)</f>
        <v>43112</v>
      </c>
      <c r="H5" s="10">
        <f>IF(DAY(JanSun1)=1,JanSun1+6,JanSun1+13)</f>
        <v>43113</v>
      </c>
      <c r="I5" s="10">
        <f>IF(DAY(JanSun1)=1,JanSun1+7,JanSun1+14)</f>
        <v>43114</v>
      </c>
      <c r="J5" s="5"/>
      <c r="K5" s="96"/>
      <c r="L5" s="17"/>
      <c r="M5" s="66"/>
      <c r="N5" s="67"/>
    </row>
    <row r="6" spans="1:14" ht="18" customHeight="1">
      <c r="A6" s="4"/>
      <c r="B6" s="61"/>
      <c r="C6" s="10">
        <f>IF(DAY(JanSun1)=1,JanSun1+8,JanSun1+15)</f>
        <v>43115</v>
      </c>
      <c r="D6" s="10">
        <f>IF(DAY(JanSun1)=1,JanSun1+9,JanSun1+16)</f>
        <v>43116</v>
      </c>
      <c r="E6" s="10">
        <f>IF(DAY(JanSun1)=1,JanSun1+10,JanSun1+17)</f>
        <v>43117</v>
      </c>
      <c r="F6" s="10">
        <f>IF(DAY(JanSun1)=1,JanSun1+11,JanSun1+18)</f>
        <v>43118</v>
      </c>
      <c r="G6" s="10">
        <f>IF(DAY(JanSun1)=1,JanSun1+12,JanSun1+19)</f>
        <v>43119</v>
      </c>
      <c r="H6" s="10">
        <f>IF(DAY(JanSun1)=1,JanSun1+13,JanSun1+20)</f>
        <v>43120</v>
      </c>
      <c r="I6" s="10">
        <f>IF(DAY(JanSun1)=1,JanSun1+14,JanSun1+21)</f>
        <v>43121</v>
      </c>
      <c r="J6" s="5"/>
      <c r="K6" s="96"/>
      <c r="L6" s="17"/>
      <c r="M6" s="66"/>
      <c r="N6" s="67"/>
    </row>
    <row r="7" spans="1:14" ht="18" customHeight="1">
      <c r="A7" s="4"/>
      <c r="B7" s="61"/>
      <c r="C7" s="10">
        <f>IF(DAY(JanSun1)=1,JanSun1+15,JanSun1+22)</f>
        <v>43122</v>
      </c>
      <c r="D7" s="10">
        <f>IF(DAY(JanSun1)=1,JanSun1+16,JanSun1+23)</f>
        <v>43123</v>
      </c>
      <c r="E7" s="10">
        <f>IF(DAY(JanSun1)=1,JanSun1+17,JanSun1+24)</f>
        <v>43124</v>
      </c>
      <c r="F7" s="10">
        <f>IF(DAY(JanSun1)=1,JanSun1+18,JanSun1+25)</f>
        <v>43125</v>
      </c>
      <c r="G7" s="10">
        <f>IF(DAY(JanSun1)=1,JanSun1+19,JanSun1+26)</f>
        <v>43126</v>
      </c>
      <c r="H7" s="10">
        <f>IF(DAY(JanSun1)=1,JanSun1+20,JanSun1+27)</f>
        <v>43127</v>
      </c>
      <c r="I7" s="10">
        <f>IF(DAY(JanSun1)=1,JanSun1+21,JanSun1+28)</f>
        <v>43128</v>
      </c>
      <c r="J7" s="5"/>
      <c r="K7" s="11"/>
      <c r="L7" s="17"/>
      <c r="M7" s="66"/>
      <c r="N7" s="67"/>
    </row>
    <row r="8" spans="1:14" ht="18.75" customHeight="1">
      <c r="A8" s="4"/>
      <c r="B8" s="61"/>
      <c r="C8" s="10">
        <f>IF(DAY(JanSun1)=1,JanSun1+22,JanSun1+29)</f>
        <v>43129</v>
      </c>
      <c r="D8" s="10">
        <f>IF(DAY(JanSun1)=1,JanSun1+23,JanSun1+30)</f>
        <v>43130</v>
      </c>
      <c r="E8" s="10">
        <f>IF(DAY(JanSun1)=1,JanSun1+24,JanSun1+31)</f>
        <v>43131</v>
      </c>
      <c r="F8" s="10">
        <f>IF(DAY(JanSun1)=1,JanSun1+25,JanSun1+32)</f>
        <v>43132</v>
      </c>
      <c r="G8" s="10">
        <f>IF(DAY(JanSun1)=1,JanSun1+26,JanSun1+33)</f>
        <v>43133</v>
      </c>
      <c r="H8" s="10">
        <f>IF(DAY(JanSun1)=1,JanSun1+27,JanSun1+34)</f>
        <v>43134</v>
      </c>
      <c r="I8" s="10">
        <f>IF(DAY(JanSun1)=1,JanSun1+28,JanSun1+35)</f>
        <v>43135</v>
      </c>
      <c r="J8" s="5"/>
      <c r="K8" s="11"/>
      <c r="L8" s="17"/>
      <c r="M8" s="66"/>
      <c r="N8" s="67"/>
    </row>
    <row r="9" spans="1:14" ht="18" customHeight="1">
      <c r="A9" s="4"/>
      <c r="B9" s="61"/>
      <c r="C9" s="10">
        <f>IF(DAY(JanSun1)=1,JanSun1+29,JanSun1+36)</f>
        <v>43136</v>
      </c>
      <c r="D9" s="10">
        <f>IF(DAY(JanSun1)=1,JanSun1+30,JanSun1+37)</f>
        <v>43137</v>
      </c>
      <c r="E9" s="10">
        <f>IF(DAY(JanSun1)=1,JanSun1+31,JanSun1+38)</f>
        <v>43138</v>
      </c>
      <c r="F9" s="10">
        <f>IF(DAY(JanSun1)=1,JanSun1+32,JanSun1+39)</f>
        <v>43139</v>
      </c>
      <c r="G9" s="10">
        <f>IF(DAY(JanSun1)=1,JanSun1+33,JanSun1+40)</f>
        <v>43140</v>
      </c>
      <c r="H9" s="10">
        <f>IF(DAY(JanSun1)=1,JanSun1+34,JanSun1+41)</f>
        <v>43141</v>
      </c>
      <c r="I9" s="10">
        <f>IF(DAY(JanSun1)=1,JanSun1+35,JanSun1+42)</f>
        <v>43142</v>
      </c>
      <c r="J9" s="5"/>
      <c r="K9" s="12"/>
      <c r="L9" s="18"/>
      <c r="M9" s="70"/>
      <c r="N9" s="71"/>
    </row>
    <row r="10" spans="1:14" ht="18" customHeight="1">
      <c r="A10" s="4"/>
      <c r="B10" s="62"/>
      <c r="C10" s="23"/>
      <c r="D10" s="23"/>
      <c r="E10" s="23"/>
      <c r="F10" s="23"/>
      <c r="G10" s="23"/>
      <c r="H10" s="23"/>
      <c r="I10" s="23"/>
      <c r="J10" s="24"/>
      <c r="K10" s="95" t="s">
        <v>12</v>
      </c>
      <c r="L10" s="16">
        <v>18</v>
      </c>
      <c r="M10" s="72"/>
      <c r="N10" s="73"/>
    </row>
    <row r="11" spans="1:14" ht="18" customHeight="1">
      <c r="A11" s="4"/>
      <c r="B11" s="63" t="s">
        <v>10</v>
      </c>
      <c r="C11" s="64"/>
      <c r="D11" s="64"/>
      <c r="E11" s="64"/>
      <c r="F11" s="64"/>
      <c r="G11" s="64"/>
      <c r="H11" s="64"/>
      <c r="I11" s="64"/>
      <c r="J11" s="65"/>
      <c r="K11" s="96"/>
      <c r="L11" s="17"/>
      <c r="M11" s="66"/>
      <c r="N11" s="67"/>
    </row>
    <row r="12" spans="1:14" ht="18" customHeight="1">
      <c r="A12" s="4"/>
      <c r="B12" s="63"/>
      <c r="C12" s="64"/>
      <c r="D12" s="64"/>
      <c r="E12" s="64"/>
      <c r="F12" s="64"/>
      <c r="G12" s="64"/>
      <c r="H12" s="64"/>
      <c r="I12" s="64"/>
      <c r="J12" s="65"/>
      <c r="K12" s="96"/>
      <c r="L12" s="17"/>
      <c r="M12" s="66"/>
      <c r="N12" s="67"/>
    </row>
    <row r="13" spans="1:14" ht="18" customHeight="1">
      <c r="B13" s="3" t="s">
        <v>11</v>
      </c>
      <c r="C13" s="97" t="s">
        <v>12</v>
      </c>
      <c r="D13" s="99"/>
      <c r="E13" s="97" t="s">
        <v>13</v>
      </c>
      <c r="F13" s="99"/>
      <c r="G13" s="97" t="s">
        <v>14</v>
      </c>
      <c r="H13" s="99"/>
      <c r="I13" s="97" t="s">
        <v>15</v>
      </c>
      <c r="J13" s="98"/>
      <c r="K13" s="11"/>
      <c r="L13" s="17"/>
      <c r="M13" s="66"/>
      <c r="N13" s="67"/>
    </row>
    <row r="14" spans="1:14" ht="18" customHeight="1">
      <c r="B14" s="8"/>
      <c r="C14" s="74"/>
      <c r="D14" s="75"/>
      <c r="E14" s="74"/>
      <c r="F14" s="75"/>
      <c r="G14" s="74"/>
      <c r="H14" s="75"/>
      <c r="I14" s="74"/>
      <c r="J14" s="89"/>
      <c r="K14" s="11"/>
      <c r="L14" s="17"/>
      <c r="M14" s="66"/>
      <c r="N14" s="67"/>
    </row>
    <row r="15" spans="1:14" ht="18" customHeight="1">
      <c r="B15" s="6"/>
      <c r="C15" s="76"/>
      <c r="D15" s="77"/>
      <c r="E15" s="76"/>
      <c r="F15" s="77"/>
      <c r="G15" s="76"/>
      <c r="H15" s="77"/>
      <c r="I15" s="87"/>
      <c r="J15" s="88"/>
      <c r="K15" s="13"/>
      <c r="L15" s="19"/>
      <c r="M15" s="70"/>
      <c r="N15" s="71"/>
    </row>
    <row r="16" spans="1:14" ht="18" customHeight="1">
      <c r="B16" s="8"/>
      <c r="C16" s="74"/>
      <c r="D16" s="75"/>
      <c r="E16" s="74"/>
      <c r="F16" s="75"/>
      <c r="G16" s="74"/>
      <c r="H16" s="75"/>
      <c r="I16" s="83"/>
      <c r="J16" s="84"/>
      <c r="K16" s="109" t="s">
        <v>13</v>
      </c>
      <c r="L16" s="16"/>
      <c r="M16" s="72"/>
      <c r="N16" s="73"/>
    </row>
    <row r="17" spans="2:14" ht="18" customHeight="1">
      <c r="B17" s="6"/>
      <c r="C17" s="76"/>
      <c r="D17" s="77"/>
      <c r="E17" s="76"/>
      <c r="F17" s="77"/>
      <c r="G17" s="76"/>
      <c r="H17" s="77"/>
      <c r="I17" s="87"/>
      <c r="J17" s="88"/>
      <c r="K17" s="110"/>
      <c r="L17" s="17"/>
      <c r="M17" s="66"/>
      <c r="N17" s="67"/>
    </row>
    <row r="18" spans="2:14" ht="18" customHeight="1">
      <c r="B18" s="9"/>
      <c r="C18" s="92"/>
      <c r="D18" s="93"/>
      <c r="E18" s="92"/>
      <c r="F18" s="93"/>
      <c r="G18" s="92"/>
      <c r="H18" s="93"/>
      <c r="I18" s="92"/>
      <c r="J18" s="94"/>
      <c r="K18" s="110"/>
      <c r="L18" s="17"/>
      <c r="M18" s="66"/>
      <c r="N18" s="67"/>
    </row>
    <row r="19" spans="2:14" ht="18" customHeight="1">
      <c r="B19" s="6"/>
      <c r="C19" s="76"/>
      <c r="D19" s="77"/>
      <c r="E19" s="76"/>
      <c r="F19" s="77"/>
      <c r="G19" s="76"/>
      <c r="H19" s="77"/>
      <c r="I19" s="87"/>
      <c r="J19" s="88"/>
      <c r="K19" s="11"/>
      <c r="L19" s="17"/>
      <c r="M19" s="66"/>
      <c r="N19" s="67"/>
    </row>
    <row r="20" spans="2:14" ht="18" customHeight="1">
      <c r="B20" s="8"/>
      <c r="C20" s="74"/>
      <c r="D20" s="75"/>
      <c r="E20" s="74"/>
      <c r="F20" s="75"/>
      <c r="G20" s="74"/>
      <c r="H20" s="75"/>
      <c r="I20" s="74"/>
      <c r="J20" s="89"/>
      <c r="K20" s="11"/>
      <c r="L20" s="17"/>
      <c r="M20" s="66"/>
      <c r="N20" s="67"/>
    </row>
    <row r="21" spans="2:14" ht="18" customHeight="1">
      <c r="B21" s="6"/>
      <c r="C21" s="76"/>
      <c r="D21" s="77"/>
      <c r="E21" s="76"/>
      <c r="F21" s="77"/>
      <c r="G21" s="76"/>
      <c r="H21" s="77"/>
      <c r="I21" s="90"/>
      <c r="J21" s="91"/>
      <c r="K21" s="13"/>
      <c r="L21" s="19"/>
      <c r="M21" s="70"/>
      <c r="N21" s="71"/>
    </row>
    <row r="22" spans="2:14" ht="18" customHeight="1">
      <c r="B22" s="8"/>
      <c r="C22" s="74"/>
      <c r="D22" s="75"/>
      <c r="E22" s="74"/>
      <c r="F22" s="75"/>
      <c r="G22" s="74"/>
      <c r="H22" s="75"/>
      <c r="I22" s="74"/>
      <c r="J22" s="89"/>
      <c r="K22" s="109" t="s">
        <v>14</v>
      </c>
      <c r="L22" s="16"/>
      <c r="M22" s="72"/>
      <c r="N22" s="73"/>
    </row>
    <row r="23" spans="2:14" ht="18" customHeight="1">
      <c r="B23" s="6"/>
      <c r="C23" s="76"/>
      <c r="D23" s="77"/>
      <c r="E23" s="76"/>
      <c r="F23" s="77"/>
      <c r="G23" s="76"/>
      <c r="H23" s="77"/>
      <c r="I23" s="87"/>
      <c r="J23" s="88"/>
      <c r="K23" s="110"/>
      <c r="L23" s="17"/>
      <c r="M23" s="66"/>
      <c r="N23" s="67"/>
    </row>
    <row r="24" spans="2:14" ht="18" customHeight="1">
      <c r="B24" s="8"/>
      <c r="C24" s="74"/>
      <c r="D24" s="75"/>
      <c r="E24" s="74"/>
      <c r="F24" s="75"/>
      <c r="G24" s="74"/>
      <c r="H24" s="75"/>
      <c r="I24" s="74"/>
      <c r="J24" s="89"/>
      <c r="K24" s="110"/>
      <c r="L24" s="17"/>
      <c r="M24" s="66"/>
      <c r="N24" s="67"/>
    </row>
    <row r="25" spans="2:14" ht="18" customHeight="1">
      <c r="B25" s="6"/>
      <c r="C25" s="76"/>
      <c r="D25" s="77"/>
      <c r="E25" s="76"/>
      <c r="F25" s="77"/>
      <c r="G25" s="76"/>
      <c r="H25" s="77"/>
      <c r="I25" s="87"/>
      <c r="J25" s="88"/>
      <c r="K25" s="110"/>
      <c r="L25" s="17"/>
      <c r="M25" s="66"/>
      <c r="N25" s="67"/>
    </row>
    <row r="26" spans="2:14" ht="18" customHeight="1">
      <c r="B26" s="8"/>
      <c r="C26" s="74"/>
      <c r="D26" s="75"/>
      <c r="E26" s="74"/>
      <c r="F26" s="75"/>
      <c r="G26" s="74"/>
      <c r="H26" s="75"/>
      <c r="I26" s="74"/>
      <c r="J26" s="89"/>
      <c r="K26" s="11"/>
      <c r="L26" s="17"/>
      <c r="M26" s="66"/>
      <c r="N26" s="67"/>
    </row>
    <row r="27" spans="2:14" ht="18" customHeight="1">
      <c r="B27" s="6"/>
      <c r="C27" s="76"/>
      <c r="D27" s="77"/>
      <c r="E27" s="76"/>
      <c r="F27" s="77"/>
      <c r="G27" s="76"/>
      <c r="H27" s="77"/>
      <c r="I27" s="87"/>
      <c r="J27" s="88"/>
      <c r="K27" s="13"/>
      <c r="L27" s="19"/>
      <c r="M27" s="70"/>
      <c r="N27" s="71"/>
    </row>
    <row r="28" spans="2:14" ht="18" customHeight="1">
      <c r="B28" s="8"/>
      <c r="C28" s="74"/>
      <c r="D28" s="75"/>
      <c r="E28" s="74"/>
      <c r="F28" s="75"/>
      <c r="G28" s="74"/>
      <c r="H28" s="75"/>
      <c r="I28" s="74"/>
      <c r="J28" s="89"/>
      <c r="K28" s="95" t="s">
        <v>15</v>
      </c>
      <c r="L28" s="16"/>
      <c r="M28" s="72"/>
      <c r="N28" s="73"/>
    </row>
    <row r="29" spans="2:14" ht="18" customHeight="1">
      <c r="B29" s="6"/>
      <c r="C29" s="76"/>
      <c r="D29" s="77"/>
      <c r="E29" s="76"/>
      <c r="F29" s="77"/>
      <c r="G29" s="76"/>
      <c r="H29" s="77"/>
      <c r="I29" s="76"/>
      <c r="J29" s="82"/>
      <c r="K29" s="96"/>
      <c r="L29" s="17"/>
      <c r="M29" s="66"/>
      <c r="N29" s="67"/>
    </row>
    <row r="30" spans="2:14" ht="18" customHeight="1">
      <c r="B30" s="8"/>
      <c r="C30" s="74"/>
      <c r="D30" s="75"/>
      <c r="E30" s="74"/>
      <c r="F30" s="75"/>
      <c r="G30" s="74"/>
      <c r="H30" s="75"/>
      <c r="I30" s="80"/>
      <c r="J30" s="81"/>
      <c r="K30" s="96"/>
      <c r="L30" s="17"/>
      <c r="M30" s="66"/>
      <c r="N30" s="67"/>
    </row>
    <row r="31" spans="2:14" ht="18" customHeight="1">
      <c r="B31" s="6"/>
      <c r="C31" s="76"/>
      <c r="D31" s="77"/>
      <c r="E31" s="76"/>
      <c r="F31" s="77"/>
      <c r="G31" s="76"/>
      <c r="H31" s="77"/>
      <c r="I31" s="76"/>
      <c r="J31" s="82"/>
      <c r="K31" s="14"/>
      <c r="L31" s="17"/>
      <c r="M31" s="66"/>
      <c r="N31" s="67"/>
    </row>
    <row r="32" spans="2:14" ht="18" customHeight="1">
      <c r="B32" s="8"/>
      <c r="C32" s="74"/>
      <c r="D32" s="75"/>
      <c r="E32" s="74"/>
      <c r="F32" s="75"/>
      <c r="G32" s="74"/>
      <c r="H32" s="75"/>
      <c r="I32" s="83"/>
      <c r="J32" s="84"/>
      <c r="K32" s="14"/>
      <c r="L32" s="17"/>
      <c r="M32" s="66"/>
      <c r="N32" s="67"/>
    </row>
    <row r="33" spans="2:14" ht="18" customHeight="1">
      <c r="B33" s="7"/>
      <c r="C33" s="78"/>
      <c r="D33" s="79"/>
      <c r="E33" s="78"/>
      <c r="F33" s="79"/>
      <c r="G33" s="78"/>
      <c r="H33" s="79"/>
      <c r="I33" s="85"/>
      <c r="J33" s="86"/>
      <c r="K33" s="15"/>
      <c r="L33" s="20"/>
      <c r="M33" s="68"/>
      <c r="N33" s="69"/>
    </row>
  </sheetData>
  <mergeCells count="123">
    <mergeCell ref="K16:K18"/>
    <mergeCell ref="K22:K25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K28:K30"/>
    <mergeCell ref="I13:J13"/>
    <mergeCell ref="G13:H13"/>
    <mergeCell ref="E13:F13"/>
    <mergeCell ref="C13:D13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1:N11"/>
    <mergeCell ref="N2:N3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E28:F28"/>
    <mergeCell ref="E27:F27"/>
    <mergeCell ref="E26:F26"/>
    <mergeCell ref="E25:F25"/>
    <mergeCell ref="E24:F24"/>
    <mergeCell ref="E33:F33"/>
    <mergeCell ref="E32:F32"/>
    <mergeCell ref="E31:F31"/>
    <mergeCell ref="E30:F30"/>
    <mergeCell ref="E29:F29"/>
    <mergeCell ref="E18:F18"/>
    <mergeCell ref="E17:F17"/>
    <mergeCell ref="E16:F16"/>
    <mergeCell ref="E15:F15"/>
    <mergeCell ref="E14:F14"/>
    <mergeCell ref="E23:F23"/>
    <mergeCell ref="E22:F22"/>
    <mergeCell ref="E21:F21"/>
    <mergeCell ref="E20:F20"/>
    <mergeCell ref="E19:F19"/>
    <mergeCell ref="G17:H17"/>
    <mergeCell ref="I17:J17"/>
    <mergeCell ref="G18:H18"/>
    <mergeCell ref="I18:J18"/>
    <mergeCell ref="G19:H19"/>
    <mergeCell ref="G14:H14"/>
    <mergeCell ref="I14:J14"/>
    <mergeCell ref="G15:H15"/>
    <mergeCell ref="I15:J15"/>
    <mergeCell ref="G16:H16"/>
    <mergeCell ref="I16:J16"/>
    <mergeCell ref="I22:J22"/>
    <mergeCell ref="I23:J23"/>
    <mergeCell ref="G22:H22"/>
    <mergeCell ref="G23:H23"/>
    <mergeCell ref="G24:H24"/>
    <mergeCell ref="I24:J24"/>
    <mergeCell ref="G20:H20"/>
    <mergeCell ref="G21:H21"/>
    <mergeCell ref="I19:J19"/>
    <mergeCell ref="I20:J20"/>
    <mergeCell ref="I21:J21"/>
    <mergeCell ref="I26:J26"/>
    <mergeCell ref="I27:J27"/>
    <mergeCell ref="I28:J28"/>
    <mergeCell ref="I29:J29"/>
    <mergeCell ref="G25:H25"/>
    <mergeCell ref="G26:H26"/>
    <mergeCell ref="G27:H27"/>
    <mergeCell ref="G28:H28"/>
    <mergeCell ref="G29:H29"/>
    <mergeCell ref="B2:B10"/>
    <mergeCell ref="B11:J12"/>
    <mergeCell ref="M31:N31"/>
    <mergeCell ref="M32:N32"/>
    <mergeCell ref="M33:N33"/>
    <mergeCell ref="M26:N26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G30:H30"/>
    <mergeCell ref="G31:H31"/>
    <mergeCell ref="G32:H32"/>
    <mergeCell ref="G33:H33"/>
    <mergeCell ref="I30:J30"/>
    <mergeCell ref="I31:J31"/>
    <mergeCell ref="I32:J32"/>
    <mergeCell ref="I33:J33"/>
    <mergeCell ref="I25:J25"/>
  </mergeCells>
  <phoneticPr fontId="2" type="noConversion"/>
  <conditionalFormatting sqref="C4:H4">
    <cfRule type="expression" dxfId="35" priority="4" stopIfTrue="1">
      <formula>DAY(C4)&gt;8</formula>
    </cfRule>
  </conditionalFormatting>
  <conditionalFormatting sqref="C8:I10">
    <cfRule type="expression" dxfId="34" priority="3" stopIfTrue="1">
      <formula>AND(DAY(C8)&gt;=1,DAY(C8)&lt;=15)</formula>
    </cfRule>
  </conditionalFormatting>
  <conditionalFormatting sqref="C4:I9">
    <cfRule type="expression" dxfId="33" priority="15">
      <formula>VLOOKUP(DAY(C4),DíasDeTareas,1,FALSE)=DAY(C4)</formula>
    </cfRule>
  </conditionalFormatting>
  <conditionalFormatting sqref="B14:J33">
    <cfRule type="expression" dxfId="32" priority="1">
      <formula>B14&lt;&gt;""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N2" xr:uid="{00000000-0002-0000-0000-000000000000}"/>
  </dataValidations>
  <printOptions horizontalCentered="1"/>
  <pageMargins left="0.5" right="0.5" top="0.5" bottom="0.5" header="0.3" footer="0.3"/>
  <pageSetup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 altText="Spinner control. Use spinner to change calendar year or type desired year in cell L2 ">
                <anchor moveWithCells="1">
                  <from>
                    <xdr:col>14</xdr:col>
                    <xdr:colOff>28575</xdr:colOff>
                    <xdr:row>1</xdr:row>
                    <xdr:rowOff>85725</xdr:rowOff>
                  </from>
                  <to>
                    <xdr:col>15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BB3E-418C-4A4D-B14C-32ACD0C08BCD}">
  <dimension ref="A1:W39"/>
  <sheetViews>
    <sheetView tabSelected="1" zoomScaleNormal="100" workbookViewId="0">
      <selection activeCell="S43" sqref="S43"/>
    </sheetView>
  </sheetViews>
  <sheetFormatPr baseColWidth="10" defaultColWidth="8.42578125" defaultRowHeight="21" customHeight="1"/>
  <cols>
    <col min="1" max="1" width="6.85546875" customWidth="1"/>
    <col min="2" max="8" width="6.7109375" customWidth="1"/>
    <col min="9" max="9" width="3.28515625" customWidth="1"/>
    <col min="14" max="14" width="13.42578125" customWidth="1"/>
    <col min="15" max="15" width="8.28515625" customWidth="1"/>
  </cols>
  <sheetData>
    <row r="1" spans="1:23" ht="23.25" customHeight="1">
      <c r="B1" s="120" t="s">
        <v>26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23" ht="12" customHeight="1">
      <c r="B2" s="158" t="s">
        <v>31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33"/>
      <c r="P2" s="33"/>
      <c r="Q2" s="33"/>
      <c r="R2" s="33"/>
      <c r="S2" s="33"/>
      <c r="T2" s="33"/>
      <c r="U2" s="33"/>
      <c r="V2" s="33"/>
      <c r="W2" s="33"/>
    </row>
    <row r="3" spans="1:23" ht="16.5" customHeight="1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33"/>
      <c r="P3" s="33"/>
      <c r="Q3" s="33"/>
      <c r="R3" s="33"/>
      <c r="S3" s="33"/>
      <c r="T3" s="33"/>
      <c r="U3" s="33"/>
      <c r="V3" s="33"/>
      <c r="W3" s="33"/>
    </row>
    <row r="4" spans="1:23" ht="21" customHeight="1"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5" spans="1:23" ht="12" customHeight="1"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32"/>
      <c r="P5" s="32"/>
      <c r="Q5" s="32"/>
      <c r="R5" s="32"/>
      <c r="S5" s="32"/>
      <c r="T5" s="32"/>
      <c r="U5" s="32"/>
      <c r="V5" s="32"/>
      <c r="W5" s="32"/>
    </row>
    <row r="6" spans="1:23" ht="12.75" customHeight="1" thickBot="1"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 ht="21" customHeight="1" thickTop="1" thickBot="1">
      <c r="B7" s="48" t="s">
        <v>9</v>
      </c>
      <c r="C7" s="48" t="s">
        <v>5</v>
      </c>
      <c r="D7" s="48" t="s">
        <v>1</v>
      </c>
      <c r="E7" s="48" t="s">
        <v>1</v>
      </c>
      <c r="F7" s="48" t="s">
        <v>7</v>
      </c>
      <c r="G7" s="48" t="s">
        <v>8</v>
      </c>
      <c r="H7" s="48" t="s">
        <v>0</v>
      </c>
      <c r="I7" s="28"/>
      <c r="J7" s="140" t="s">
        <v>34</v>
      </c>
      <c r="K7" s="140"/>
      <c r="L7" s="140"/>
      <c r="M7" s="140"/>
      <c r="N7" s="140"/>
      <c r="O7" s="29"/>
      <c r="P7" s="29"/>
      <c r="Q7" s="29"/>
      <c r="R7" s="29"/>
      <c r="S7" s="29"/>
      <c r="T7" s="29"/>
      <c r="U7" s="29"/>
      <c r="V7" s="29"/>
      <c r="W7" s="29"/>
    </row>
    <row r="8" spans="1:23" ht="21" customHeight="1" thickTop="1">
      <c r="B8" s="39"/>
      <c r="C8" s="40"/>
      <c r="D8" s="40"/>
      <c r="E8" s="40"/>
      <c r="F8" s="53">
        <v>1</v>
      </c>
      <c r="G8" s="56">
        <v>2</v>
      </c>
      <c r="H8" s="59">
        <v>3</v>
      </c>
      <c r="I8" s="30"/>
      <c r="J8" s="140"/>
      <c r="K8" s="140"/>
      <c r="L8" s="140"/>
      <c r="M8" s="140"/>
      <c r="N8" s="140"/>
      <c r="O8" s="29"/>
      <c r="P8" s="29"/>
      <c r="Q8" s="29"/>
      <c r="R8" s="29"/>
      <c r="S8" s="29"/>
      <c r="T8" s="29"/>
      <c r="U8" s="29"/>
      <c r="V8" s="29"/>
      <c r="W8" s="29"/>
    </row>
    <row r="9" spans="1:23" ht="21" customHeight="1">
      <c r="B9" s="57">
        <v>4</v>
      </c>
      <c r="C9" s="41">
        <v>5</v>
      </c>
      <c r="D9" s="41">
        <v>6</v>
      </c>
      <c r="E9" s="42">
        <v>7</v>
      </c>
      <c r="F9" s="42">
        <v>8</v>
      </c>
      <c r="G9" s="42">
        <v>9</v>
      </c>
      <c r="H9" s="54">
        <v>10</v>
      </c>
      <c r="I9" s="30"/>
      <c r="J9" s="147" t="s">
        <v>32</v>
      </c>
      <c r="K9" s="148"/>
      <c r="L9" s="148"/>
      <c r="M9" s="148"/>
      <c r="N9" s="148"/>
      <c r="O9" s="29"/>
      <c r="P9" s="29"/>
      <c r="Q9" s="29"/>
      <c r="R9" s="29"/>
      <c r="S9" s="29"/>
      <c r="T9" s="29"/>
      <c r="U9" s="29"/>
      <c r="V9" s="29"/>
      <c r="W9" s="29"/>
    </row>
    <row r="10" spans="1:23" ht="21" customHeight="1" thickBot="1">
      <c r="B10" s="57">
        <v>11</v>
      </c>
      <c r="C10" s="41">
        <v>12</v>
      </c>
      <c r="D10" s="41">
        <v>13</v>
      </c>
      <c r="E10" s="42">
        <v>14</v>
      </c>
      <c r="F10" s="41">
        <v>15</v>
      </c>
      <c r="G10" s="42">
        <v>16</v>
      </c>
      <c r="H10" s="55">
        <v>17</v>
      </c>
      <c r="I10" s="30"/>
      <c r="J10" s="148"/>
      <c r="K10" s="148"/>
      <c r="L10" s="148"/>
      <c r="M10" s="148"/>
      <c r="N10" s="148"/>
      <c r="O10" s="29"/>
      <c r="P10" s="29"/>
      <c r="Q10" s="29"/>
      <c r="R10" s="29"/>
      <c r="S10" s="29"/>
      <c r="T10" s="29"/>
      <c r="U10" s="29"/>
      <c r="V10" s="29"/>
      <c r="W10" s="29"/>
    </row>
    <row r="11" spans="1:23" ht="21" customHeight="1" thickTop="1" thickBot="1">
      <c r="B11" s="57">
        <v>18</v>
      </c>
      <c r="C11" s="41">
        <v>19</v>
      </c>
      <c r="D11" s="41">
        <v>20</v>
      </c>
      <c r="E11" s="41">
        <v>21</v>
      </c>
      <c r="F11" s="41">
        <v>22</v>
      </c>
      <c r="G11" s="41">
        <v>23</v>
      </c>
      <c r="H11" s="54">
        <v>24</v>
      </c>
      <c r="I11" s="52"/>
      <c r="J11" s="141" t="s">
        <v>30</v>
      </c>
      <c r="K11" s="142"/>
      <c r="L11" s="142"/>
      <c r="M11" s="142"/>
      <c r="N11" s="143"/>
      <c r="O11" s="27"/>
      <c r="P11" s="27"/>
      <c r="Q11" s="27"/>
      <c r="R11" s="27"/>
      <c r="S11" s="27"/>
      <c r="T11" s="27"/>
      <c r="U11" s="27"/>
      <c r="V11" s="27"/>
      <c r="W11" s="27"/>
    </row>
    <row r="12" spans="1:23" ht="21" customHeight="1" thickBot="1">
      <c r="B12" s="58">
        <v>25</v>
      </c>
      <c r="C12" s="43">
        <v>26</v>
      </c>
      <c r="D12" s="43">
        <v>27</v>
      </c>
      <c r="E12" s="43">
        <v>28</v>
      </c>
      <c r="F12" s="43">
        <v>29</v>
      </c>
      <c r="G12" s="43">
        <v>30</v>
      </c>
      <c r="H12" s="44"/>
      <c r="I12" s="30"/>
      <c r="J12" s="144"/>
      <c r="K12" s="145"/>
      <c r="L12" s="145"/>
      <c r="M12" s="145"/>
      <c r="N12" s="146"/>
      <c r="O12" s="29"/>
      <c r="P12" s="29"/>
      <c r="Q12" s="29"/>
      <c r="R12" s="29"/>
      <c r="S12" s="29"/>
      <c r="T12" s="29"/>
      <c r="U12" s="29"/>
      <c r="V12" s="29"/>
      <c r="W12" s="29"/>
    </row>
    <row r="13" spans="1:23" ht="12.75" customHeight="1" thickTop="1" thickBot="1">
      <c r="I13" s="27"/>
      <c r="K13" s="34"/>
      <c r="L13" s="35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ht="21" customHeight="1" thickBot="1">
      <c r="A14" s="47"/>
      <c r="B14" s="160" t="s">
        <v>29</v>
      </c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2"/>
      <c r="O14" s="29"/>
      <c r="P14" s="29"/>
      <c r="Q14" s="29"/>
      <c r="R14" s="29"/>
      <c r="S14" s="29"/>
      <c r="T14" s="29"/>
      <c r="U14" s="29"/>
      <c r="V14" s="29"/>
      <c r="W14" s="29"/>
    </row>
    <row r="15" spans="1:23" ht="24" customHeight="1">
      <c r="B15" s="149" t="s">
        <v>36</v>
      </c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1"/>
      <c r="O15" s="29"/>
      <c r="P15" s="29"/>
      <c r="Q15" s="29"/>
      <c r="R15" s="29"/>
      <c r="S15" s="29"/>
      <c r="T15" s="29"/>
      <c r="U15" s="29"/>
      <c r="V15" s="29"/>
      <c r="W15" s="29"/>
    </row>
    <row r="16" spans="1:23" ht="21" customHeight="1">
      <c r="B16" s="152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4"/>
      <c r="O16" s="29"/>
      <c r="P16" s="29"/>
      <c r="Q16" s="29"/>
      <c r="R16" s="29"/>
      <c r="S16" s="29"/>
      <c r="T16" s="29"/>
      <c r="U16" s="29"/>
      <c r="V16" s="29"/>
      <c r="W16" s="29"/>
    </row>
    <row r="17" spans="2:17" ht="21" customHeight="1">
      <c r="B17" s="152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4"/>
      <c r="O17" s="27"/>
    </row>
    <row r="18" spans="2:17" ht="21" customHeight="1">
      <c r="B18" s="152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4"/>
      <c r="O18" s="27"/>
      <c r="Q18" s="27"/>
    </row>
    <row r="19" spans="2:17" ht="21" customHeight="1">
      <c r="B19" s="152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4"/>
      <c r="Q19" s="27"/>
    </row>
    <row r="20" spans="2:17" ht="21" customHeight="1">
      <c r="B20" s="152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4"/>
    </row>
    <row r="21" spans="2:17" ht="21" customHeight="1">
      <c r="B21" s="152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4"/>
    </row>
    <row r="22" spans="2:17" ht="21" customHeight="1">
      <c r="B22" s="152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4"/>
    </row>
    <row r="23" spans="2:17" ht="21" customHeight="1" thickBot="1">
      <c r="B23" s="155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7"/>
    </row>
    <row r="24" spans="2:17" ht="10.5" customHeight="1" thickBot="1">
      <c r="B24" s="50"/>
      <c r="C24" s="37"/>
      <c r="D24" s="37"/>
      <c r="E24" s="37"/>
      <c r="F24" s="37"/>
      <c r="G24" s="37"/>
      <c r="H24" s="37"/>
      <c r="I24" s="37"/>
      <c r="J24" s="37"/>
      <c r="K24" s="49"/>
      <c r="L24" s="37"/>
      <c r="M24" s="37"/>
      <c r="N24" s="38"/>
    </row>
    <row r="25" spans="2:17" ht="18" customHeight="1" thickBot="1">
      <c r="B25" s="127" t="s">
        <v>27</v>
      </c>
      <c r="C25" s="128"/>
      <c r="D25" s="128"/>
      <c r="E25" s="128"/>
      <c r="F25" s="128"/>
      <c r="G25" s="128"/>
      <c r="H25" s="128"/>
      <c r="I25" s="128"/>
      <c r="J25" s="128"/>
      <c r="K25" s="129"/>
      <c r="L25" s="128"/>
      <c r="M25" s="128"/>
      <c r="N25" s="130"/>
    </row>
    <row r="26" spans="2:17" ht="21" customHeight="1" thickBot="1">
      <c r="B26" s="131" t="s">
        <v>28</v>
      </c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3"/>
      <c r="O26" s="45"/>
    </row>
    <row r="27" spans="2:17" ht="12" customHeight="1" thickBot="1">
      <c r="B27" s="46"/>
      <c r="C27" s="46"/>
      <c r="D27" s="46"/>
      <c r="E27" s="46"/>
      <c r="F27" s="46"/>
      <c r="G27" s="46"/>
      <c r="H27" s="36"/>
      <c r="I27" s="36"/>
      <c r="J27" s="36"/>
      <c r="K27" s="36"/>
      <c r="L27" s="36"/>
      <c r="M27" s="36"/>
      <c r="N27" s="36"/>
    </row>
    <row r="28" spans="2:17" ht="18" customHeight="1" thickBot="1">
      <c r="B28" s="121" t="s">
        <v>24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3"/>
      <c r="O28" s="45"/>
    </row>
    <row r="29" spans="2:17" ht="21" customHeight="1">
      <c r="B29" s="134" t="s">
        <v>33</v>
      </c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6"/>
      <c r="O29" s="27"/>
    </row>
    <row r="30" spans="2:17" ht="21" customHeight="1" thickBot="1">
      <c r="B30" s="137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9"/>
    </row>
    <row r="31" spans="2:17" ht="12" customHeight="1" thickBot="1">
      <c r="M31" s="27"/>
      <c r="N31" s="27"/>
    </row>
    <row r="32" spans="2:17" ht="18" customHeight="1" thickBot="1">
      <c r="B32" s="124" t="s">
        <v>25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  <c r="O32" s="27"/>
    </row>
    <row r="33" spans="2:15" ht="21" customHeight="1">
      <c r="B33" s="111" t="s">
        <v>35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3"/>
      <c r="O33" s="27"/>
    </row>
    <row r="34" spans="2:15" ht="21" customHeight="1">
      <c r="B34" s="114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6"/>
      <c r="O34" s="27"/>
    </row>
    <row r="35" spans="2:15" ht="21" customHeight="1">
      <c r="B35" s="114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6"/>
    </row>
    <row r="36" spans="2:15" ht="21" customHeight="1">
      <c r="B36" s="114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6"/>
    </row>
    <row r="37" spans="2:15" ht="21" customHeight="1" thickBot="1">
      <c r="B37" s="117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9"/>
    </row>
    <row r="38" spans="2:15" ht="21" customHeight="1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</row>
    <row r="39" spans="2:15" ht="21" customHeight="1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</sheetData>
  <mergeCells count="14">
    <mergeCell ref="B33:N37"/>
    <mergeCell ref="B1:N1"/>
    <mergeCell ref="B28:N28"/>
    <mergeCell ref="B32:N32"/>
    <mergeCell ref="B25:N25"/>
    <mergeCell ref="B26:N26"/>
    <mergeCell ref="B29:N30"/>
    <mergeCell ref="J7:N8"/>
    <mergeCell ref="J11:N12"/>
    <mergeCell ref="J9:N10"/>
    <mergeCell ref="B15:N23"/>
    <mergeCell ref="B2:N3"/>
    <mergeCell ref="B4:N5"/>
    <mergeCell ref="B14:N14"/>
  </mergeCells>
  <pageMargins left="0.31496062992125984" right="0.31496062992125984" top="0.35433070866141736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AO33"/>
  <sheetViews>
    <sheetView showGridLines="0" topLeftCell="A8" zoomScaleNormal="100" zoomScalePageLayoutView="84" workbookViewId="0">
      <selection activeCell="B14" sqref="B14:J32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0" t="s">
        <v>23</v>
      </c>
      <c r="C2" s="21"/>
      <c r="D2" s="21"/>
      <c r="E2" s="21"/>
      <c r="F2" s="21"/>
      <c r="G2" s="21"/>
      <c r="H2" s="21"/>
      <c r="I2" s="21"/>
      <c r="J2" s="22"/>
      <c r="K2" s="100" t="s">
        <v>3</v>
      </c>
      <c r="L2" s="101">
        <v>2013</v>
      </c>
      <c r="M2" s="101"/>
      <c r="N2" s="25"/>
    </row>
    <row r="3" spans="1:14" ht="21" customHeight="1">
      <c r="A3" s="4"/>
      <c r="B3" s="61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2"/>
      <c r="L3" s="103"/>
      <c r="M3" s="103"/>
      <c r="N3" s="26"/>
    </row>
    <row r="4" spans="1:14" ht="18" customHeight="1">
      <c r="A4" s="4"/>
      <c r="B4" s="61"/>
      <c r="C4" s="10">
        <f>IF(DAY(FebDom1)=1,FebDom1-6,FebDom1+1)</f>
        <v>43129</v>
      </c>
      <c r="D4" s="10">
        <f>IF(DAY(FebDom1)=1,FebDom1-5,FebDom1+2)</f>
        <v>43130</v>
      </c>
      <c r="E4" s="10">
        <f>IF(DAY(FebDom1)=1,FebDom1-4,FebDom1+3)</f>
        <v>43131</v>
      </c>
      <c r="F4" s="10">
        <f>IF(DAY(FebDom1)=1,FebDom1-3,FebDom1+4)</f>
        <v>43132</v>
      </c>
      <c r="G4" s="10">
        <f>IF(DAY(FebDom1)=1,FebDom1-2,FebDom1+5)</f>
        <v>43133</v>
      </c>
      <c r="H4" s="10">
        <f>IF(DAY(FebDom1)=1,FebDom1-1,FebDom1+6)</f>
        <v>43134</v>
      </c>
      <c r="I4" s="10">
        <f>IF(DAY(FebDom1)=1,FebDom1,FebDom1+7)</f>
        <v>43135</v>
      </c>
      <c r="J4" s="5"/>
      <c r="K4" s="104" t="s">
        <v>11</v>
      </c>
      <c r="L4" s="16"/>
      <c r="M4" s="105"/>
      <c r="N4" s="106"/>
    </row>
    <row r="5" spans="1:14" ht="18" customHeight="1">
      <c r="A5" s="4"/>
      <c r="B5" s="61"/>
      <c r="C5" s="10">
        <f>IF(DAY(FebDom1)=1,FebDom1+1,FebDom1+8)</f>
        <v>43136</v>
      </c>
      <c r="D5" s="10">
        <f>IF(DAY(FebDom1)=1,FebDom1+2,FebDom1+9)</f>
        <v>43137</v>
      </c>
      <c r="E5" s="10">
        <f>IF(DAY(FebDom1)=1,FebDom1+3,FebDom1+10)</f>
        <v>43138</v>
      </c>
      <c r="F5" s="10">
        <f>IF(DAY(FebDom1)=1,FebDom1+4,FebDom1+11)</f>
        <v>43139</v>
      </c>
      <c r="G5" s="10">
        <f>IF(DAY(FebDom1)=1,FebDom1+5,FebDom1+12)</f>
        <v>43140</v>
      </c>
      <c r="H5" s="10">
        <f>IF(DAY(FebDom1)=1,FebDom1+6,FebDom1+13)</f>
        <v>43141</v>
      </c>
      <c r="I5" s="10">
        <f>IF(DAY(FebDom1)=1,FebDom1+7,FebDom1+14)</f>
        <v>43142</v>
      </c>
      <c r="J5" s="5"/>
      <c r="K5" s="96"/>
      <c r="L5" s="17"/>
      <c r="M5" s="66"/>
      <c r="N5" s="67"/>
    </row>
    <row r="6" spans="1:14" ht="18" customHeight="1">
      <c r="A6" s="4"/>
      <c r="B6" s="61"/>
      <c r="C6" s="10">
        <f>IF(DAY(FebDom1)=1,FebDom1+8,FebDom1+15)</f>
        <v>43143</v>
      </c>
      <c r="D6" s="10">
        <f>IF(DAY(FebDom1)=1,FebDom1+9,FebDom1+16)</f>
        <v>43144</v>
      </c>
      <c r="E6" s="10">
        <f>IF(DAY(FebDom1)=1,FebDom1+10,FebDom1+17)</f>
        <v>43145</v>
      </c>
      <c r="F6" s="10">
        <f>IF(DAY(FebDom1)=1,FebDom1+11,FebDom1+18)</f>
        <v>43146</v>
      </c>
      <c r="G6" s="10">
        <f>IF(DAY(FebDom1)=1,FebDom1+12,FebDom1+19)</f>
        <v>43147</v>
      </c>
      <c r="H6" s="10">
        <f>IF(DAY(FebDom1)=1,FebDom1+13,FebDom1+20)</f>
        <v>43148</v>
      </c>
      <c r="I6" s="10">
        <f>IF(DAY(FebDom1)=1,FebDom1+14,FebDom1+21)</f>
        <v>43149</v>
      </c>
      <c r="J6" s="5"/>
      <c r="K6" s="96"/>
      <c r="L6" s="17"/>
      <c r="M6" s="66"/>
      <c r="N6" s="67"/>
    </row>
    <row r="7" spans="1:14" ht="18" customHeight="1">
      <c r="A7" s="4"/>
      <c r="B7" s="61"/>
      <c r="C7" s="10">
        <f>IF(DAY(FebDom1)=1,FebDom1+15,FebDom1+22)</f>
        <v>43150</v>
      </c>
      <c r="D7" s="10">
        <f>IF(DAY(FebDom1)=1,FebDom1+16,FebDom1+23)</f>
        <v>43151</v>
      </c>
      <c r="E7" s="10">
        <f>IF(DAY(FebDom1)=1,FebDom1+17,FebDom1+24)</f>
        <v>43152</v>
      </c>
      <c r="F7" s="10">
        <f>IF(DAY(FebDom1)=1,FebDom1+18,FebDom1+25)</f>
        <v>43153</v>
      </c>
      <c r="G7" s="10">
        <f>IF(DAY(FebDom1)=1,FebDom1+19,FebDom1+26)</f>
        <v>43154</v>
      </c>
      <c r="H7" s="10">
        <f>IF(DAY(FebDom1)=1,FebDom1+20,FebDom1+27)</f>
        <v>43155</v>
      </c>
      <c r="I7" s="10">
        <f>IF(DAY(FebDom1)=1,FebDom1+21,FebDom1+28)</f>
        <v>43156</v>
      </c>
      <c r="J7" s="5"/>
      <c r="K7" s="11"/>
      <c r="L7" s="17"/>
      <c r="M7" s="66"/>
      <c r="N7" s="67"/>
    </row>
    <row r="8" spans="1:14" ht="18.75" customHeight="1">
      <c r="A8" s="4"/>
      <c r="B8" s="61"/>
      <c r="C8" s="10">
        <f>IF(DAY(FebDom1)=1,FebDom1+22,FebDom1+29)</f>
        <v>43157</v>
      </c>
      <c r="D8" s="10">
        <f>IF(DAY(FebDom1)=1,FebDom1+23,FebDom1+30)</f>
        <v>43158</v>
      </c>
      <c r="E8" s="10">
        <f>IF(DAY(FebDom1)=1,FebDom1+24,FebDom1+31)</f>
        <v>43159</v>
      </c>
      <c r="F8" s="10">
        <f>IF(DAY(FebDom1)=1,FebDom1+25,FebDom1+32)</f>
        <v>43160</v>
      </c>
      <c r="G8" s="10">
        <f>IF(DAY(FebDom1)=1,FebDom1+26,FebDom1+33)</f>
        <v>43161</v>
      </c>
      <c r="H8" s="10">
        <f>IF(DAY(FebDom1)=1,FebDom1+27,FebDom1+34)</f>
        <v>43162</v>
      </c>
      <c r="I8" s="10">
        <f>IF(DAY(FebDom1)=1,FebDom1+28,FebDom1+35)</f>
        <v>43163</v>
      </c>
      <c r="J8" s="5"/>
      <c r="K8" s="11"/>
      <c r="L8" s="17"/>
      <c r="M8" s="66"/>
      <c r="N8" s="67"/>
    </row>
    <row r="9" spans="1:14" ht="18" customHeight="1">
      <c r="A9" s="4"/>
      <c r="B9" s="61"/>
      <c r="C9" s="10">
        <f>IF(DAY(FebDom1)=1,FebDom1+29,FebDom1+36)</f>
        <v>43164</v>
      </c>
      <c r="D9" s="10">
        <f>IF(DAY(FebDom1)=1,FebDom1+30,FebDom1+37)</f>
        <v>43165</v>
      </c>
      <c r="E9" s="10">
        <f>IF(DAY(FebDom1)=1,FebDom1+31,FebDom1+38)</f>
        <v>43166</v>
      </c>
      <c r="F9" s="10">
        <f>IF(DAY(FebDom1)=1,FebDom1+32,FebDom1+39)</f>
        <v>43167</v>
      </c>
      <c r="G9" s="10">
        <f>IF(DAY(FebDom1)=1,FebDom1+33,FebDom1+40)</f>
        <v>43168</v>
      </c>
      <c r="H9" s="10">
        <f>IF(DAY(FebDom1)=1,FebDom1+34,FebDom1+41)</f>
        <v>43169</v>
      </c>
      <c r="I9" s="10">
        <f>IF(DAY(FebDom1)=1,FebDom1+35,FebDom1+42)</f>
        <v>43170</v>
      </c>
      <c r="J9" s="5"/>
      <c r="K9" s="12"/>
      <c r="L9" s="18"/>
      <c r="M9" s="70"/>
      <c r="N9" s="71"/>
    </row>
    <row r="10" spans="1:14" ht="18" customHeight="1">
      <c r="A10" s="4"/>
      <c r="B10" s="62"/>
      <c r="C10" s="23"/>
      <c r="D10" s="23"/>
      <c r="E10" s="23"/>
      <c r="F10" s="23"/>
      <c r="G10" s="23"/>
      <c r="H10" s="23"/>
      <c r="I10" s="23"/>
      <c r="J10" s="24"/>
      <c r="K10" s="95" t="s">
        <v>12</v>
      </c>
      <c r="L10" s="16"/>
      <c r="M10" s="72"/>
      <c r="N10" s="73"/>
    </row>
    <row r="11" spans="1:14" ht="18" customHeight="1">
      <c r="A11" s="4"/>
      <c r="B11" s="63" t="s">
        <v>10</v>
      </c>
      <c r="C11" s="64"/>
      <c r="D11" s="64"/>
      <c r="E11" s="64"/>
      <c r="F11" s="64"/>
      <c r="G11" s="64"/>
      <c r="H11" s="64"/>
      <c r="I11" s="64"/>
      <c r="J11" s="65"/>
      <c r="K11" s="96"/>
      <c r="L11" s="17"/>
      <c r="M11" s="66"/>
      <c r="N11" s="67"/>
    </row>
    <row r="12" spans="1:14" ht="18" customHeight="1">
      <c r="A12" s="4"/>
      <c r="B12" s="63"/>
      <c r="C12" s="64"/>
      <c r="D12" s="64"/>
      <c r="E12" s="64"/>
      <c r="F12" s="64"/>
      <c r="G12" s="64"/>
      <c r="H12" s="64"/>
      <c r="I12" s="64"/>
      <c r="J12" s="65"/>
      <c r="K12" s="96"/>
      <c r="L12" s="17"/>
      <c r="M12" s="66"/>
      <c r="N12" s="67"/>
    </row>
    <row r="13" spans="1:14" ht="18" customHeight="1">
      <c r="B13" s="3" t="s">
        <v>11</v>
      </c>
      <c r="C13" s="97" t="s">
        <v>12</v>
      </c>
      <c r="D13" s="99"/>
      <c r="E13" s="97" t="s">
        <v>13</v>
      </c>
      <c r="F13" s="99"/>
      <c r="G13" s="97" t="s">
        <v>14</v>
      </c>
      <c r="H13" s="99"/>
      <c r="I13" s="97" t="s">
        <v>15</v>
      </c>
      <c r="J13" s="98"/>
      <c r="K13" s="11"/>
      <c r="L13" s="17"/>
      <c r="M13" s="66"/>
      <c r="N13" s="67"/>
    </row>
    <row r="14" spans="1:14" ht="18" customHeight="1">
      <c r="B14" s="8"/>
      <c r="C14" s="74"/>
      <c r="D14" s="75"/>
      <c r="E14" s="74"/>
      <c r="F14" s="75"/>
      <c r="G14" s="74"/>
      <c r="H14" s="75"/>
      <c r="I14" s="74"/>
      <c r="J14" s="89"/>
      <c r="K14" s="11"/>
      <c r="L14" s="17"/>
      <c r="M14" s="66"/>
      <c r="N14" s="67"/>
    </row>
    <row r="15" spans="1:14" ht="18" customHeight="1">
      <c r="B15" s="6"/>
      <c r="C15" s="76"/>
      <c r="D15" s="77"/>
      <c r="E15" s="76"/>
      <c r="F15" s="77"/>
      <c r="G15" s="76"/>
      <c r="H15" s="77"/>
      <c r="I15" s="87"/>
      <c r="J15" s="88"/>
      <c r="K15" s="13"/>
      <c r="L15" s="19"/>
      <c r="M15" s="70"/>
      <c r="N15" s="71"/>
    </row>
    <row r="16" spans="1:14" ht="18" customHeight="1">
      <c r="B16" s="8"/>
      <c r="C16" s="74"/>
      <c r="D16" s="75"/>
      <c r="E16" s="74"/>
      <c r="F16" s="75"/>
      <c r="G16" s="74"/>
      <c r="H16" s="75"/>
      <c r="I16" s="83"/>
      <c r="J16" s="84"/>
      <c r="K16" s="109" t="s">
        <v>13</v>
      </c>
      <c r="L16" s="16"/>
      <c r="M16" s="72"/>
      <c r="N16" s="73"/>
    </row>
    <row r="17" spans="2:14" ht="18" customHeight="1">
      <c r="B17" s="6"/>
      <c r="C17" s="76"/>
      <c r="D17" s="77"/>
      <c r="E17" s="76"/>
      <c r="F17" s="77"/>
      <c r="G17" s="76"/>
      <c r="H17" s="77"/>
      <c r="I17" s="87"/>
      <c r="J17" s="88"/>
      <c r="K17" s="110"/>
      <c r="L17" s="17"/>
      <c r="M17" s="66"/>
      <c r="N17" s="67"/>
    </row>
    <row r="18" spans="2:14" ht="18" customHeight="1">
      <c r="B18" s="9"/>
      <c r="C18" s="92"/>
      <c r="D18" s="93"/>
      <c r="E18" s="92"/>
      <c r="F18" s="93"/>
      <c r="G18" s="92"/>
      <c r="H18" s="93"/>
      <c r="I18" s="92"/>
      <c r="J18" s="94"/>
      <c r="K18" s="110"/>
      <c r="L18" s="17"/>
      <c r="M18" s="66"/>
      <c r="N18" s="67"/>
    </row>
    <row r="19" spans="2:14" ht="18" customHeight="1">
      <c r="B19" s="6"/>
      <c r="C19" s="76"/>
      <c r="D19" s="77"/>
      <c r="E19" s="76"/>
      <c r="F19" s="77"/>
      <c r="G19" s="76"/>
      <c r="H19" s="77"/>
      <c r="I19" s="87"/>
      <c r="J19" s="88"/>
      <c r="K19" s="11"/>
      <c r="L19" s="17"/>
      <c r="M19" s="66"/>
      <c r="N19" s="67"/>
    </row>
    <row r="20" spans="2:14" ht="18" customHeight="1">
      <c r="B20" s="8"/>
      <c r="C20" s="74"/>
      <c r="D20" s="75"/>
      <c r="E20" s="74"/>
      <c r="F20" s="75"/>
      <c r="G20" s="74"/>
      <c r="H20" s="75"/>
      <c r="I20" s="74"/>
      <c r="J20" s="89"/>
      <c r="K20" s="11"/>
      <c r="L20" s="17"/>
      <c r="M20" s="66"/>
      <c r="N20" s="67"/>
    </row>
    <row r="21" spans="2:14" ht="18" customHeight="1">
      <c r="B21" s="6"/>
      <c r="C21" s="76"/>
      <c r="D21" s="77"/>
      <c r="E21" s="76"/>
      <c r="F21" s="77"/>
      <c r="G21" s="76"/>
      <c r="H21" s="77"/>
      <c r="I21" s="90"/>
      <c r="J21" s="91"/>
      <c r="K21" s="13"/>
      <c r="L21" s="19"/>
      <c r="M21" s="70"/>
      <c r="N21" s="71"/>
    </row>
    <row r="22" spans="2:14" ht="18" customHeight="1">
      <c r="B22" s="8"/>
      <c r="C22" s="74"/>
      <c r="D22" s="75"/>
      <c r="E22" s="74"/>
      <c r="F22" s="75"/>
      <c r="G22" s="74"/>
      <c r="H22" s="75"/>
      <c r="I22" s="74"/>
      <c r="J22" s="89"/>
      <c r="K22" s="109" t="s">
        <v>14</v>
      </c>
      <c r="L22" s="16"/>
      <c r="M22" s="72"/>
      <c r="N22" s="73"/>
    </row>
    <row r="23" spans="2:14" ht="18" customHeight="1">
      <c r="B23" s="6"/>
      <c r="C23" s="76"/>
      <c r="D23" s="77"/>
      <c r="E23" s="76"/>
      <c r="F23" s="77"/>
      <c r="G23" s="76"/>
      <c r="H23" s="77"/>
      <c r="I23" s="87"/>
      <c r="J23" s="88"/>
      <c r="K23" s="110"/>
      <c r="L23" s="17"/>
      <c r="M23" s="66"/>
      <c r="N23" s="67"/>
    </row>
    <row r="24" spans="2:14" ht="18" customHeight="1">
      <c r="B24" s="8"/>
      <c r="C24" s="74"/>
      <c r="D24" s="75"/>
      <c r="E24" s="74"/>
      <c r="F24" s="75"/>
      <c r="G24" s="74"/>
      <c r="H24" s="75"/>
      <c r="I24" s="74"/>
      <c r="J24" s="89"/>
      <c r="K24" s="110"/>
      <c r="L24" s="17"/>
      <c r="M24" s="66"/>
      <c r="N24" s="67"/>
    </row>
    <row r="25" spans="2:14" ht="18" customHeight="1">
      <c r="B25" s="6"/>
      <c r="C25" s="76"/>
      <c r="D25" s="77"/>
      <c r="E25" s="76"/>
      <c r="F25" s="77"/>
      <c r="G25" s="76"/>
      <c r="H25" s="77"/>
      <c r="I25" s="87"/>
      <c r="J25" s="88"/>
      <c r="K25" s="110"/>
      <c r="L25" s="17"/>
      <c r="M25" s="66"/>
      <c r="N25" s="67"/>
    </row>
    <row r="26" spans="2:14" ht="18" customHeight="1">
      <c r="B26" s="8"/>
      <c r="C26" s="74"/>
      <c r="D26" s="75"/>
      <c r="E26" s="74"/>
      <c r="F26" s="75"/>
      <c r="G26" s="74"/>
      <c r="H26" s="75"/>
      <c r="I26" s="74"/>
      <c r="J26" s="89"/>
      <c r="K26" s="11"/>
      <c r="L26" s="17"/>
      <c r="M26" s="66"/>
      <c r="N26" s="67"/>
    </row>
    <row r="27" spans="2:14" ht="18" customHeight="1">
      <c r="B27" s="6"/>
      <c r="C27" s="76"/>
      <c r="D27" s="77"/>
      <c r="E27" s="76"/>
      <c r="F27" s="77"/>
      <c r="G27" s="76"/>
      <c r="H27" s="77"/>
      <c r="I27" s="87"/>
      <c r="J27" s="88"/>
      <c r="K27" s="13"/>
      <c r="L27" s="19"/>
      <c r="M27" s="70"/>
      <c r="N27" s="71"/>
    </row>
    <row r="28" spans="2:14" ht="18" customHeight="1">
      <c r="B28" s="8"/>
      <c r="C28" s="74"/>
      <c r="D28" s="75"/>
      <c r="E28" s="74"/>
      <c r="F28" s="75"/>
      <c r="G28" s="74"/>
      <c r="H28" s="75"/>
      <c r="I28" s="74"/>
      <c r="J28" s="89"/>
      <c r="K28" s="95" t="s">
        <v>15</v>
      </c>
      <c r="L28" s="16"/>
      <c r="M28" s="72"/>
      <c r="N28" s="73"/>
    </row>
    <row r="29" spans="2:14" ht="18" customHeight="1">
      <c r="B29" s="6"/>
      <c r="C29" s="76"/>
      <c r="D29" s="77"/>
      <c r="E29" s="76"/>
      <c r="F29" s="77"/>
      <c r="G29" s="76"/>
      <c r="H29" s="77"/>
      <c r="I29" s="76"/>
      <c r="J29" s="82"/>
      <c r="K29" s="96"/>
      <c r="L29" s="17"/>
      <c r="M29" s="66"/>
      <c r="N29" s="67"/>
    </row>
    <row r="30" spans="2:14" ht="18" customHeight="1">
      <c r="B30" s="8"/>
      <c r="C30" s="74"/>
      <c r="D30" s="75"/>
      <c r="E30" s="74"/>
      <c r="F30" s="75"/>
      <c r="G30" s="74"/>
      <c r="H30" s="75"/>
      <c r="I30" s="80"/>
      <c r="J30" s="81"/>
      <c r="K30" s="96"/>
      <c r="L30" s="17"/>
      <c r="M30" s="66"/>
      <c r="N30" s="67"/>
    </row>
    <row r="31" spans="2:14" ht="18" customHeight="1">
      <c r="B31" s="6"/>
      <c r="C31" s="76"/>
      <c r="D31" s="77"/>
      <c r="E31" s="76"/>
      <c r="F31" s="77"/>
      <c r="G31" s="76"/>
      <c r="H31" s="77"/>
      <c r="I31" s="76"/>
      <c r="J31" s="82"/>
      <c r="K31" s="14"/>
      <c r="L31" s="17"/>
      <c r="M31" s="66"/>
      <c r="N31" s="67"/>
    </row>
    <row r="32" spans="2:14" ht="18" customHeight="1">
      <c r="B32" s="8"/>
      <c r="C32" s="74"/>
      <c r="D32" s="75"/>
      <c r="E32" s="74"/>
      <c r="F32" s="75"/>
      <c r="G32" s="74"/>
      <c r="H32" s="75"/>
      <c r="I32" s="83"/>
      <c r="J32" s="84"/>
      <c r="K32" s="14"/>
      <c r="L32" s="17"/>
      <c r="M32" s="66"/>
      <c r="N32" s="67"/>
    </row>
    <row r="33" spans="2:14" ht="18" customHeight="1">
      <c r="B33" s="7"/>
      <c r="C33" s="78"/>
      <c r="D33" s="79"/>
      <c r="E33" s="78"/>
      <c r="F33" s="79"/>
      <c r="G33" s="78"/>
      <c r="H33" s="79"/>
      <c r="I33" s="85"/>
      <c r="J33" s="86"/>
      <c r="K33" s="15"/>
      <c r="L33" s="20"/>
      <c r="M33" s="68"/>
      <c r="N33" s="69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1" priority="3" stopIfTrue="1">
      <formula>DAY(C4)&gt;8</formula>
    </cfRule>
  </conditionalFormatting>
  <conditionalFormatting sqref="C8:I10">
    <cfRule type="expression" dxfId="30" priority="2" stopIfTrue="1">
      <formula>AND(DAY(C8)&gt;=1,DAY(C8)&lt;=15)</formula>
    </cfRule>
  </conditionalFormatting>
  <conditionalFormatting sqref="C4:I9">
    <cfRule type="expression" dxfId="29" priority="4">
      <formula>VLOOKUP(DAY(C4),DíasDeTareas,1,FALSE)=DAY(C4)</formula>
    </cfRule>
  </conditionalFormatting>
  <conditionalFormatting sqref="B14:J33">
    <cfRule type="expression" dxfId="28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AO33"/>
  <sheetViews>
    <sheetView showGridLines="0" topLeftCell="A16" zoomScaleNormal="100" zoomScalePageLayoutView="84" workbookViewId="0">
      <selection activeCell="B26" sqref="B26:J33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0" t="s">
        <v>22</v>
      </c>
      <c r="C2" s="21"/>
      <c r="D2" s="21"/>
      <c r="E2" s="21"/>
      <c r="F2" s="21"/>
      <c r="G2" s="21"/>
      <c r="H2" s="21"/>
      <c r="I2" s="21"/>
      <c r="J2" s="22"/>
      <c r="K2" s="100" t="s">
        <v>3</v>
      </c>
      <c r="L2" s="101">
        <v>2013</v>
      </c>
      <c r="M2" s="101"/>
      <c r="N2" s="25"/>
    </row>
    <row r="3" spans="1:14" ht="21" customHeight="1">
      <c r="A3" s="4"/>
      <c r="B3" s="61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2"/>
      <c r="L3" s="103"/>
      <c r="M3" s="103"/>
      <c r="N3" s="26"/>
    </row>
    <row r="4" spans="1:14" ht="18" customHeight="1">
      <c r="A4" s="4"/>
      <c r="B4" s="61"/>
      <c r="C4" s="10">
        <f>IF(DAY(MarDom1)=1,MarDom1-6,MarDom1+1)</f>
        <v>43157</v>
      </c>
      <c r="D4" s="10">
        <f>IF(DAY(MarDom1)=1,MarDom1-5,MarDom1+2)</f>
        <v>43158</v>
      </c>
      <c r="E4" s="10">
        <f>IF(DAY(MarDom1)=1,MarDom1-4,MarDom1+3)</f>
        <v>43159</v>
      </c>
      <c r="F4" s="10">
        <f>IF(DAY(MarDom1)=1,MarDom1-3,MarDom1+4)</f>
        <v>43160</v>
      </c>
      <c r="G4" s="10">
        <f>IF(DAY(MarDom1)=1,MarDom1-2,MarDom1+5)</f>
        <v>43161</v>
      </c>
      <c r="H4" s="10">
        <f>IF(DAY(MarDom1)=1,MarDom1-1,MarDom1+6)</f>
        <v>43162</v>
      </c>
      <c r="I4" s="10">
        <f>IF(DAY(MarDom1)=1,MarDom1,MarDom1+7)</f>
        <v>43163</v>
      </c>
      <c r="J4" s="5"/>
      <c r="K4" s="104" t="s">
        <v>11</v>
      </c>
      <c r="L4" s="16"/>
      <c r="M4" s="105"/>
      <c r="N4" s="106"/>
    </row>
    <row r="5" spans="1:14" ht="18" customHeight="1">
      <c r="A5" s="4"/>
      <c r="B5" s="61"/>
      <c r="C5" s="10">
        <f>IF(DAY(MarDom1)=1,MarDom1+1,MarDom1+8)</f>
        <v>43164</v>
      </c>
      <c r="D5" s="10">
        <f>IF(DAY(MarDom1)=1,MarDom1+2,MarDom1+9)</f>
        <v>43165</v>
      </c>
      <c r="E5" s="10">
        <f>IF(DAY(MarDom1)=1,MarDom1+3,MarDom1+10)</f>
        <v>43166</v>
      </c>
      <c r="F5" s="10">
        <f>IF(DAY(MarDom1)=1,MarDom1+4,MarDom1+11)</f>
        <v>43167</v>
      </c>
      <c r="G5" s="10">
        <f>IF(DAY(MarDom1)=1,MarDom1+5,MarDom1+12)</f>
        <v>43168</v>
      </c>
      <c r="H5" s="10">
        <f>IF(DAY(MarDom1)=1,MarDom1+6,MarDom1+13)</f>
        <v>43169</v>
      </c>
      <c r="I5" s="10">
        <f>IF(DAY(MarDom1)=1,MarDom1+7,MarDom1+14)</f>
        <v>43170</v>
      </c>
      <c r="J5" s="5"/>
      <c r="K5" s="96"/>
      <c r="L5" s="17"/>
      <c r="M5" s="66"/>
      <c r="N5" s="67"/>
    </row>
    <row r="6" spans="1:14" ht="18" customHeight="1">
      <c r="A6" s="4"/>
      <c r="B6" s="61"/>
      <c r="C6" s="10">
        <f>IF(DAY(MarDom1)=1,MarDom1+8,MarDom1+15)</f>
        <v>43171</v>
      </c>
      <c r="D6" s="10">
        <f>IF(DAY(MarDom1)=1,MarDom1+9,MarDom1+16)</f>
        <v>43172</v>
      </c>
      <c r="E6" s="10">
        <f>IF(DAY(MarDom1)=1,MarDom1+10,MarDom1+17)</f>
        <v>43173</v>
      </c>
      <c r="F6" s="10">
        <f>IF(DAY(MarDom1)=1,MarDom1+11,MarDom1+18)</f>
        <v>43174</v>
      </c>
      <c r="G6" s="10">
        <f>IF(DAY(MarDom1)=1,MarDom1+12,MarDom1+19)</f>
        <v>43175</v>
      </c>
      <c r="H6" s="10">
        <f>IF(DAY(MarDom1)=1,MarDom1+13,MarDom1+20)</f>
        <v>43176</v>
      </c>
      <c r="I6" s="10">
        <f>IF(DAY(MarDom1)=1,MarDom1+14,MarDom1+21)</f>
        <v>43177</v>
      </c>
      <c r="J6" s="5"/>
      <c r="K6" s="96"/>
      <c r="L6" s="17"/>
      <c r="M6" s="66"/>
      <c r="N6" s="67"/>
    </row>
    <row r="7" spans="1:14" ht="18" customHeight="1">
      <c r="A7" s="4"/>
      <c r="B7" s="61"/>
      <c r="C7" s="10">
        <f>IF(DAY(MarDom1)=1,MarDom1+15,MarDom1+22)</f>
        <v>43178</v>
      </c>
      <c r="D7" s="10">
        <f>IF(DAY(MarDom1)=1,MarDom1+16,MarDom1+23)</f>
        <v>43179</v>
      </c>
      <c r="E7" s="10">
        <f>IF(DAY(MarDom1)=1,MarDom1+17,MarDom1+24)</f>
        <v>43180</v>
      </c>
      <c r="F7" s="10">
        <f>IF(DAY(MarDom1)=1,MarDom1+18,MarDom1+25)</f>
        <v>43181</v>
      </c>
      <c r="G7" s="10">
        <f>IF(DAY(MarDom1)=1,MarDom1+19,MarDom1+26)</f>
        <v>43182</v>
      </c>
      <c r="H7" s="10">
        <f>IF(DAY(MarDom1)=1,MarDom1+20,MarDom1+27)</f>
        <v>43183</v>
      </c>
      <c r="I7" s="10">
        <f>IF(DAY(MarDom1)=1,MarDom1+21,MarDom1+28)</f>
        <v>43184</v>
      </c>
      <c r="J7" s="5"/>
      <c r="K7" s="11"/>
      <c r="L7" s="17"/>
      <c r="M7" s="66"/>
      <c r="N7" s="67"/>
    </row>
    <row r="8" spans="1:14" ht="18.75" customHeight="1">
      <c r="A8" s="4"/>
      <c r="B8" s="61"/>
      <c r="C8" s="10">
        <f>IF(DAY(MarDom1)=1,MarDom1+22,MarDom1+29)</f>
        <v>43185</v>
      </c>
      <c r="D8" s="10">
        <f>IF(DAY(MarDom1)=1,MarDom1+23,MarDom1+30)</f>
        <v>43186</v>
      </c>
      <c r="E8" s="10">
        <f>IF(DAY(MarDom1)=1,MarDom1+24,MarDom1+31)</f>
        <v>43187</v>
      </c>
      <c r="F8" s="10">
        <f>IF(DAY(MarDom1)=1,MarDom1+25,MarDom1+32)</f>
        <v>43188</v>
      </c>
      <c r="G8" s="10">
        <f>IF(DAY(MarDom1)=1,MarDom1+26,MarDom1+33)</f>
        <v>43189</v>
      </c>
      <c r="H8" s="10">
        <f>IF(DAY(MarDom1)=1,MarDom1+27,MarDom1+34)</f>
        <v>43190</v>
      </c>
      <c r="I8" s="10">
        <f>IF(DAY(MarDom1)=1,MarDom1+28,MarDom1+35)</f>
        <v>43191</v>
      </c>
      <c r="J8" s="5"/>
      <c r="K8" s="11"/>
      <c r="L8" s="17"/>
      <c r="M8" s="66"/>
      <c r="N8" s="67"/>
    </row>
    <row r="9" spans="1:14" ht="18" customHeight="1">
      <c r="A9" s="4"/>
      <c r="B9" s="61"/>
      <c r="C9" s="10">
        <f>IF(DAY(MarDom1)=1,MarDom1+29,MarDom1+36)</f>
        <v>43192</v>
      </c>
      <c r="D9" s="10">
        <f>IF(DAY(MarDom1)=1,MarDom1+30,MarDom1+37)</f>
        <v>43193</v>
      </c>
      <c r="E9" s="10">
        <f>IF(DAY(MarDom1)=1,MarDom1+31,MarDom1+38)</f>
        <v>43194</v>
      </c>
      <c r="F9" s="10">
        <f>IF(DAY(MarDom1)=1,MarDom1+32,MarDom1+39)</f>
        <v>43195</v>
      </c>
      <c r="G9" s="10">
        <f>IF(DAY(MarDom1)=1,MarDom1+33,MarDom1+40)</f>
        <v>43196</v>
      </c>
      <c r="H9" s="10">
        <f>IF(DAY(MarDom1)=1,MarDom1+34,MarDom1+41)</f>
        <v>43197</v>
      </c>
      <c r="I9" s="10">
        <f>IF(DAY(MarDom1)=1,MarDom1+35,MarDom1+42)</f>
        <v>43198</v>
      </c>
      <c r="J9" s="5"/>
      <c r="K9" s="12"/>
      <c r="L9" s="18"/>
      <c r="M9" s="70"/>
      <c r="N9" s="71"/>
    </row>
    <row r="10" spans="1:14" ht="18" customHeight="1">
      <c r="A10" s="4"/>
      <c r="B10" s="62"/>
      <c r="C10" s="23"/>
      <c r="D10" s="23"/>
      <c r="E10" s="23"/>
      <c r="F10" s="23"/>
      <c r="G10" s="23"/>
      <c r="H10" s="23"/>
      <c r="I10" s="23"/>
      <c r="J10" s="24"/>
      <c r="K10" s="95" t="s">
        <v>12</v>
      </c>
      <c r="L10" s="16"/>
      <c r="M10" s="72"/>
      <c r="N10" s="73"/>
    </row>
    <row r="11" spans="1:14" ht="18" customHeight="1">
      <c r="A11" s="4"/>
      <c r="B11" s="63" t="s">
        <v>10</v>
      </c>
      <c r="C11" s="64"/>
      <c r="D11" s="64"/>
      <c r="E11" s="64"/>
      <c r="F11" s="64"/>
      <c r="G11" s="64"/>
      <c r="H11" s="64"/>
      <c r="I11" s="64"/>
      <c r="J11" s="65"/>
      <c r="K11" s="96"/>
      <c r="L11" s="17"/>
      <c r="M11" s="66"/>
      <c r="N11" s="67"/>
    </row>
    <row r="12" spans="1:14" ht="18" customHeight="1">
      <c r="A12" s="4"/>
      <c r="B12" s="63"/>
      <c r="C12" s="64"/>
      <c r="D12" s="64"/>
      <c r="E12" s="64"/>
      <c r="F12" s="64"/>
      <c r="G12" s="64"/>
      <c r="H12" s="64"/>
      <c r="I12" s="64"/>
      <c r="J12" s="65"/>
      <c r="K12" s="96"/>
      <c r="L12" s="17"/>
      <c r="M12" s="66"/>
      <c r="N12" s="67"/>
    </row>
    <row r="13" spans="1:14" ht="18" customHeight="1">
      <c r="B13" s="3" t="s">
        <v>11</v>
      </c>
      <c r="C13" s="97" t="s">
        <v>12</v>
      </c>
      <c r="D13" s="99"/>
      <c r="E13" s="97" t="s">
        <v>13</v>
      </c>
      <c r="F13" s="99"/>
      <c r="G13" s="97" t="s">
        <v>14</v>
      </c>
      <c r="H13" s="99"/>
      <c r="I13" s="97" t="s">
        <v>15</v>
      </c>
      <c r="J13" s="98"/>
      <c r="K13" s="11"/>
      <c r="L13" s="17"/>
      <c r="M13" s="66"/>
      <c r="N13" s="67"/>
    </row>
    <row r="14" spans="1:14" ht="18" customHeight="1">
      <c r="B14" s="8"/>
      <c r="C14" s="74"/>
      <c r="D14" s="75"/>
      <c r="E14" s="74"/>
      <c r="F14" s="75"/>
      <c r="G14" s="74"/>
      <c r="H14" s="75"/>
      <c r="I14" s="74"/>
      <c r="J14" s="89"/>
      <c r="K14" s="11"/>
      <c r="L14" s="17"/>
      <c r="M14" s="66"/>
      <c r="N14" s="67"/>
    </row>
    <row r="15" spans="1:14" ht="18" customHeight="1">
      <c r="B15" s="6"/>
      <c r="C15" s="76"/>
      <c r="D15" s="77"/>
      <c r="E15" s="76"/>
      <c r="F15" s="77"/>
      <c r="G15" s="76"/>
      <c r="H15" s="77"/>
      <c r="I15" s="87"/>
      <c r="J15" s="88"/>
      <c r="K15" s="13"/>
      <c r="L15" s="19"/>
      <c r="M15" s="70"/>
      <c r="N15" s="71"/>
    </row>
    <row r="16" spans="1:14" ht="18" customHeight="1">
      <c r="B16" s="8"/>
      <c r="C16" s="74"/>
      <c r="D16" s="75"/>
      <c r="E16" s="74"/>
      <c r="F16" s="75"/>
      <c r="G16" s="74"/>
      <c r="H16" s="75"/>
      <c r="I16" s="83"/>
      <c r="J16" s="84"/>
      <c r="K16" s="109" t="s">
        <v>13</v>
      </c>
      <c r="L16" s="16"/>
      <c r="M16" s="72"/>
      <c r="N16" s="73"/>
    </row>
    <row r="17" spans="2:14" ht="18" customHeight="1">
      <c r="B17" s="6"/>
      <c r="C17" s="76"/>
      <c r="D17" s="77"/>
      <c r="E17" s="76"/>
      <c r="F17" s="77"/>
      <c r="G17" s="76"/>
      <c r="H17" s="77"/>
      <c r="I17" s="87"/>
      <c r="J17" s="88"/>
      <c r="K17" s="110"/>
      <c r="L17" s="17"/>
      <c r="M17" s="66"/>
      <c r="N17" s="67"/>
    </row>
    <row r="18" spans="2:14" ht="18" customHeight="1">
      <c r="B18" s="9"/>
      <c r="C18" s="92"/>
      <c r="D18" s="93"/>
      <c r="E18" s="92"/>
      <c r="F18" s="93"/>
      <c r="G18" s="92"/>
      <c r="H18" s="93"/>
      <c r="I18" s="92"/>
      <c r="J18" s="94"/>
      <c r="K18" s="110"/>
      <c r="L18" s="17"/>
      <c r="M18" s="66"/>
      <c r="N18" s="67"/>
    </row>
    <row r="19" spans="2:14" ht="18" customHeight="1">
      <c r="B19" s="6"/>
      <c r="C19" s="76"/>
      <c r="D19" s="77"/>
      <c r="E19" s="76"/>
      <c r="F19" s="77"/>
      <c r="G19" s="76"/>
      <c r="H19" s="77"/>
      <c r="I19" s="87"/>
      <c r="J19" s="88"/>
      <c r="K19" s="11"/>
      <c r="L19" s="17"/>
      <c r="M19" s="66"/>
      <c r="N19" s="67"/>
    </row>
    <row r="20" spans="2:14" ht="18" customHeight="1">
      <c r="B20" s="8"/>
      <c r="C20" s="74"/>
      <c r="D20" s="75"/>
      <c r="E20" s="74"/>
      <c r="F20" s="75"/>
      <c r="G20" s="74"/>
      <c r="H20" s="75"/>
      <c r="I20" s="74"/>
      <c r="J20" s="89"/>
      <c r="K20" s="11"/>
      <c r="L20" s="17"/>
      <c r="M20" s="66"/>
      <c r="N20" s="67"/>
    </row>
    <row r="21" spans="2:14" ht="18" customHeight="1">
      <c r="B21" s="6"/>
      <c r="C21" s="76"/>
      <c r="D21" s="77"/>
      <c r="E21" s="76"/>
      <c r="F21" s="77"/>
      <c r="G21" s="76"/>
      <c r="H21" s="77"/>
      <c r="I21" s="90"/>
      <c r="J21" s="91"/>
      <c r="K21" s="13"/>
      <c r="L21" s="19"/>
      <c r="M21" s="70"/>
      <c r="N21" s="71"/>
    </row>
    <row r="22" spans="2:14" ht="18" customHeight="1">
      <c r="B22" s="8"/>
      <c r="C22" s="74"/>
      <c r="D22" s="75"/>
      <c r="E22" s="74"/>
      <c r="F22" s="75"/>
      <c r="G22" s="74"/>
      <c r="H22" s="75"/>
      <c r="I22" s="74"/>
      <c r="J22" s="89"/>
      <c r="K22" s="109" t="s">
        <v>14</v>
      </c>
      <c r="L22" s="16"/>
      <c r="M22" s="72"/>
      <c r="N22" s="73"/>
    </row>
    <row r="23" spans="2:14" ht="18" customHeight="1">
      <c r="B23" s="6"/>
      <c r="C23" s="76"/>
      <c r="D23" s="77"/>
      <c r="E23" s="76"/>
      <c r="F23" s="77"/>
      <c r="G23" s="76"/>
      <c r="H23" s="77"/>
      <c r="I23" s="87"/>
      <c r="J23" s="88"/>
      <c r="K23" s="110"/>
      <c r="L23" s="17"/>
      <c r="M23" s="66"/>
      <c r="N23" s="67"/>
    </row>
    <row r="24" spans="2:14" ht="18" customHeight="1">
      <c r="B24" s="8"/>
      <c r="C24" s="74"/>
      <c r="D24" s="75"/>
      <c r="E24" s="74"/>
      <c r="F24" s="75"/>
      <c r="G24" s="74"/>
      <c r="H24" s="75"/>
      <c r="I24" s="74"/>
      <c r="J24" s="89"/>
      <c r="K24" s="110"/>
      <c r="L24" s="17"/>
      <c r="M24" s="66"/>
      <c r="N24" s="67"/>
    </row>
    <row r="25" spans="2:14" ht="18" customHeight="1">
      <c r="B25" s="6"/>
      <c r="C25" s="76"/>
      <c r="D25" s="77"/>
      <c r="E25" s="76"/>
      <c r="F25" s="77"/>
      <c r="G25" s="76"/>
      <c r="H25" s="77"/>
      <c r="I25" s="87"/>
      <c r="J25" s="88"/>
      <c r="K25" s="110"/>
      <c r="L25" s="17"/>
      <c r="M25" s="66"/>
      <c r="N25" s="67"/>
    </row>
    <row r="26" spans="2:14" ht="18" customHeight="1">
      <c r="B26" s="8"/>
      <c r="C26" s="74"/>
      <c r="D26" s="75"/>
      <c r="E26" s="74"/>
      <c r="F26" s="75"/>
      <c r="G26" s="74"/>
      <c r="H26" s="75"/>
      <c r="I26" s="74"/>
      <c r="J26" s="89"/>
      <c r="K26" s="11"/>
      <c r="L26" s="17"/>
      <c r="M26" s="66"/>
      <c r="N26" s="67"/>
    </row>
    <row r="27" spans="2:14" ht="18" customHeight="1">
      <c r="B27" s="6"/>
      <c r="C27" s="76"/>
      <c r="D27" s="77"/>
      <c r="E27" s="76"/>
      <c r="F27" s="77"/>
      <c r="G27" s="76"/>
      <c r="H27" s="77"/>
      <c r="I27" s="87"/>
      <c r="J27" s="88"/>
      <c r="K27" s="13"/>
      <c r="L27" s="19"/>
      <c r="M27" s="70"/>
      <c r="N27" s="71"/>
    </row>
    <row r="28" spans="2:14" ht="18" customHeight="1">
      <c r="B28" s="8"/>
      <c r="C28" s="74"/>
      <c r="D28" s="75"/>
      <c r="E28" s="74"/>
      <c r="F28" s="75"/>
      <c r="G28" s="74"/>
      <c r="H28" s="75"/>
      <c r="I28" s="74"/>
      <c r="J28" s="89"/>
      <c r="K28" s="95" t="s">
        <v>15</v>
      </c>
      <c r="L28" s="16"/>
      <c r="M28" s="72"/>
      <c r="N28" s="73"/>
    </row>
    <row r="29" spans="2:14" ht="18" customHeight="1">
      <c r="B29" s="6"/>
      <c r="C29" s="76"/>
      <c r="D29" s="77"/>
      <c r="E29" s="76"/>
      <c r="F29" s="77"/>
      <c r="G29" s="76"/>
      <c r="H29" s="77"/>
      <c r="I29" s="76"/>
      <c r="J29" s="82"/>
      <c r="K29" s="96"/>
      <c r="L29" s="17"/>
      <c r="M29" s="66"/>
      <c r="N29" s="67"/>
    </row>
    <row r="30" spans="2:14" ht="18" customHeight="1">
      <c r="B30" s="8"/>
      <c r="C30" s="74"/>
      <c r="D30" s="75"/>
      <c r="E30" s="74"/>
      <c r="F30" s="75"/>
      <c r="G30" s="74"/>
      <c r="H30" s="75"/>
      <c r="I30" s="80"/>
      <c r="J30" s="81"/>
      <c r="K30" s="96"/>
      <c r="L30" s="17"/>
      <c r="M30" s="66"/>
      <c r="N30" s="67"/>
    </row>
    <row r="31" spans="2:14" ht="18" customHeight="1">
      <c r="B31" s="6"/>
      <c r="C31" s="76"/>
      <c r="D31" s="77"/>
      <c r="E31" s="76"/>
      <c r="F31" s="77"/>
      <c r="G31" s="76"/>
      <c r="H31" s="77"/>
      <c r="I31" s="76"/>
      <c r="J31" s="82"/>
      <c r="K31" s="14"/>
      <c r="L31" s="17"/>
      <c r="M31" s="66"/>
      <c r="N31" s="67"/>
    </row>
    <row r="32" spans="2:14" ht="18" customHeight="1">
      <c r="B32" s="8"/>
      <c r="C32" s="74"/>
      <c r="D32" s="75"/>
      <c r="E32" s="74"/>
      <c r="F32" s="75"/>
      <c r="G32" s="74"/>
      <c r="H32" s="75"/>
      <c r="I32" s="83"/>
      <c r="J32" s="84"/>
      <c r="K32" s="14"/>
      <c r="L32" s="17"/>
      <c r="M32" s="66"/>
      <c r="N32" s="67"/>
    </row>
    <row r="33" spans="2:14" ht="18" customHeight="1">
      <c r="B33" s="7"/>
      <c r="C33" s="78"/>
      <c r="D33" s="79"/>
      <c r="E33" s="78"/>
      <c r="F33" s="79"/>
      <c r="G33" s="78"/>
      <c r="H33" s="79"/>
      <c r="I33" s="85"/>
      <c r="J33" s="86"/>
      <c r="K33" s="15"/>
      <c r="L33" s="20"/>
      <c r="M33" s="68"/>
      <c r="N33" s="69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27" priority="3" stopIfTrue="1">
      <formula>DAY(C4)&gt;8</formula>
    </cfRule>
  </conditionalFormatting>
  <conditionalFormatting sqref="C8:I10">
    <cfRule type="expression" dxfId="26" priority="2" stopIfTrue="1">
      <formula>AND(DAY(C8)&gt;=1,DAY(C8)&lt;=15)</formula>
    </cfRule>
  </conditionalFormatting>
  <conditionalFormatting sqref="C4:I9">
    <cfRule type="expression" dxfId="25" priority="4">
      <formula>VLOOKUP(DAY(C4),DíasDeTareas,1,FALSE)=DAY(C4)</formula>
    </cfRule>
  </conditionalFormatting>
  <conditionalFormatting sqref="B14:J33">
    <cfRule type="expression" dxfId="24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AO33"/>
  <sheetViews>
    <sheetView showGridLines="0" topLeftCell="A19" zoomScaleNormal="100" zoomScalePageLayoutView="84" workbookViewId="0">
      <selection activeCell="B14" sqref="B14:J31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0" t="s">
        <v>21</v>
      </c>
      <c r="C2" s="21"/>
      <c r="D2" s="21"/>
      <c r="E2" s="21"/>
      <c r="F2" s="21"/>
      <c r="G2" s="21"/>
      <c r="H2" s="21"/>
      <c r="I2" s="21"/>
      <c r="J2" s="22"/>
      <c r="K2" s="100" t="s">
        <v>3</v>
      </c>
      <c r="L2" s="101">
        <v>2013</v>
      </c>
      <c r="M2" s="101"/>
      <c r="N2" s="25"/>
    </row>
    <row r="3" spans="1:14" ht="21" customHeight="1">
      <c r="A3" s="4"/>
      <c r="B3" s="61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2"/>
      <c r="L3" s="103"/>
      <c r="M3" s="103"/>
      <c r="N3" s="26"/>
    </row>
    <row r="4" spans="1:14" ht="18" customHeight="1">
      <c r="A4" s="4"/>
      <c r="B4" s="61"/>
      <c r="C4" s="10">
        <f>IF(DAY(AbrDom1)=1,AbrDom1-6,AbrDom1+1)</f>
        <v>43185</v>
      </c>
      <c r="D4" s="10">
        <f>IF(DAY(AbrDom1)=1,AbrDom1-5,AbrDom1+2)</f>
        <v>43186</v>
      </c>
      <c r="E4" s="10">
        <f>IF(DAY(AbrDom1)=1,AbrDom1-4,AbrDom1+3)</f>
        <v>43187</v>
      </c>
      <c r="F4" s="10">
        <f>IF(DAY(AbrDom1)=1,AbrDom1-3,AbrDom1+4)</f>
        <v>43188</v>
      </c>
      <c r="G4" s="10">
        <f>IF(DAY(AbrDom1)=1,AbrDom1-2,AbrDom1+5)</f>
        <v>43189</v>
      </c>
      <c r="H4" s="10">
        <f>IF(DAY(AbrDom1)=1,AbrDom1-1,AbrDom1+6)</f>
        <v>43190</v>
      </c>
      <c r="I4" s="10">
        <f>IF(DAY(AbrDom1)=1,AbrDom1,AbrDom1+7)</f>
        <v>43191</v>
      </c>
      <c r="J4" s="5"/>
      <c r="K4" s="104" t="s">
        <v>11</v>
      </c>
      <c r="L4" s="16"/>
      <c r="M4" s="105"/>
      <c r="N4" s="106"/>
    </row>
    <row r="5" spans="1:14" ht="18" customHeight="1">
      <c r="A5" s="4"/>
      <c r="B5" s="61"/>
      <c r="C5" s="10">
        <f>IF(DAY(AbrDom1)=1,AbrDom1+1,AbrDom1+8)</f>
        <v>43192</v>
      </c>
      <c r="D5" s="10">
        <f>IF(DAY(AbrDom1)=1,AbrDom1+2,AbrDom1+9)</f>
        <v>43193</v>
      </c>
      <c r="E5" s="10">
        <f>IF(DAY(AbrDom1)=1,AbrDom1+3,AbrDom1+10)</f>
        <v>43194</v>
      </c>
      <c r="F5" s="10">
        <f>IF(DAY(AbrDom1)=1,AbrDom1+4,AbrDom1+11)</f>
        <v>43195</v>
      </c>
      <c r="G5" s="10">
        <f>IF(DAY(AbrDom1)=1,AbrDom1+5,AbrDom1+12)</f>
        <v>43196</v>
      </c>
      <c r="H5" s="10">
        <f>IF(DAY(AbrDom1)=1,AbrDom1+6,AbrDom1+13)</f>
        <v>43197</v>
      </c>
      <c r="I5" s="10">
        <f>IF(DAY(AbrDom1)=1,AbrDom1+7,AbrDom1+14)</f>
        <v>43198</v>
      </c>
      <c r="J5" s="5"/>
      <c r="K5" s="96"/>
      <c r="L5" s="17"/>
      <c r="M5" s="66"/>
      <c r="N5" s="67"/>
    </row>
    <row r="6" spans="1:14" ht="18" customHeight="1">
      <c r="A6" s="4"/>
      <c r="B6" s="61"/>
      <c r="C6" s="10">
        <f>IF(DAY(AbrDom1)=1,AbrDom1+8,AbrDom1+15)</f>
        <v>43199</v>
      </c>
      <c r="D6" s="10">
        <f>IF(DAY(AbrDom1)=1,AbrDom1+9,AbrDom1+16)</f>
        <v>43200</v>
      </c>
      <c r="E6" s="10">
        <f>IF(DAY(AbrDom1)=1,AbrDom1+10,AbrDom1+17)</f>
        <v>43201</v>
      </c>
      <c r="F6" s="10">
        <f>IF(DAY(AbrDom1)=1,AbrDom1+11,AbrDom1+18)</f>
        <v>43202</v>
      </c>
      <c r="G6" s="10">
        <f>IF(DAY(AbrDom1)=1,AbrDom1+12,AbrDom1+19)</f>
        <v>43203</v>
      </c>
      <c r="H6" s="10">
        <f>IF(DAY(AbrDom1)=1,AbrDom1+13,AbrDom1+20)</f>
        <v>43204</v>
      </c>
      <c r="I6" s="10">
        <f>IF(DAY(AbrDom1)=1,AbrDom1+14,AbrDom1+21)</f>
        <v>43205</v>
      </c>
      <c r="J6" s="5"/>
      <c r="K6" s="96"/>
      <c r="L6" s="17"/>
      <c r="M6" s="66"/>
      <c r="N6" s="67"/>
    </row>
    <row r="7" spans="1:14" ht="18" customHeight="1">
      <c r="A7" s="4"/>
      <c r="B7" s="61"/>
      <c r="C7" s="10">
        <f>IF(DAY(AbrDom1)=1,AbrDom1+15,AbrDom1+22)</f>
        <v>43206</v>
      </c>
      <c r="D7" s="10">
        <f>IF(DAY(AbrDom1)=1,AbrDom1+16,AbrDom1+23)</f>
        <v>43207</v>
      </c>
      <c r="E7" s="10">
        <f>IF(DAY(AbrDom1)=1,AbrDom1+17,AbrDom1+24)</f>
        <v>43208</v>
      </c>
      <c r="F7" s="10">
        <f>IF(DAY(AbrDom1)=1,AbrDom1+18,AbrDom1+25)</f>
        <v>43209</v>
      </c>
      <c r="G7" s="10">
        <f>IF(DAY(AbrDom1)=1,AbrDom1+19,AbrDom1+26)</f>
        <v>43210</v>
      </c>
      <c r="H7" s="10">
        <f>IF(DAY(AbrDom1)=1,AbrDom1+20,AbrDom1+27)</f>
        <v>43211</v>
      </c>
      <c r="I7" s="10">
        <f>IF(DAY(AbrDom1)=1,AbrDom1+21,AbrDom1+28)</f>
        <v>43212</v>
      </c>
      <c r="J7" s="5"/>
      <c r="K7" s="11"/>
      <c r="L7" s="17"/>
      <c r="M7" s="66"/>
      <c r="N7" s="67"/>
    </row>
    <row r="8" spans="1:14" ht="18.75" customHeight="1">
      <c r="A8" s="4"/>
      <c r="B8" s="61"/>
      <c r="C8" s="10">
        <f>IF(DAY(AbrDom1)=1,AbrDom1+22,AbrDom1+29)</f>
        <v>43213</v>
      </c>
      <c r="D8" s="10">
        <f>IF(DAY(AbrDom1)=1,AbrDom1+23,AbrDom1+30)</f>
        <v>43214</v>
      </c>
      <c r="E8" s="10">
        <f>IF(DAY(AbrDom1)=1,AbrDom1+24,AbrDom1+31)</f>
        <v>43215</v>
      </c>
      <c r="F8" s="10">
        <f>IF(DAY(AbrDom1)=1,AbrDom1+25,AbrDom1+32)</f>
        <v>43216</v>
      </c>
      <c r="G8" s="10">
        <f>IF(DAY(AbrDom1)=1,AbrDom1+26,AbrDom1+33)</f>
        <v>43217</v>
      </c>
      <c r="H8" s="10">
        <f>IF(DAY(AbrDom1)=1,AbrDom1+27,AbrDom1+34)</f>
        <v>43218</v>
      </c>
      <c r="I8" s="10">
        <f>IF(DAY(AbrDom1)=1,AbrDom1+28,AbrDom1+35)</f>
        <v>43219</v>
      </c>
      <c r="J8" s="5"/>
      <c r="K8" s="11"/>
      <c r="L8" s="17"/>
      <c r="M8" s="66"/>
      <c r="N8" s="67"/>
    </row>
    <row r="9" spans="1:14" ht="18" customHeight="1">
      <c r="A9" s="4"/>
      <c r="B9" s="61"/>
      <c r="C9" s="10">
        <f>IF(DAY(AbrDom1)=1,AbrDom1+29,AbrDom1+36)</f>
        <v>43220</v>
      </c>
      <c r="D9" s="10">
        <f>IF(DAY(AbrDom1)=1,AbrDom1+30,AbrDom1+37)</f>
        <v>43221</v>
      </c>
      <c r="E9" s="10">
        <f>IF(DAY(AbrDom1)=1,AbrDom1+31,AbrDom1+38)</f>
        <v>43222</v>
      </c>
      <c r="F9" s="10">
        <f>IF(DAY(AbrDom1)=1,AbrDom1+32,AbrDom1+39)</f>
        <v>43223</v>
      </c>
      <c r="G9" s="10">
        <f>IF(DAY(AbrDom1)=1,AbrDom1+33,AbrDom1+40)</f>
        <v>43224</v>
      </c>
      <c r="H9" s="10">
        <f>IF(DAY(AbrDom1)=1,AbrDom1+34,AbrDom1+41)</f>
        <v>43225</v>
      </c>
      <c r="I9" s="10">
        <f>IF(DAY(AbrDom1)=1,AbrDom1+35,AbrDom1+42)</f>
        <v>43226</v>
      </c>
      <c r="J9" s="5"/>
      <c r="K9" s="12"/>
      <c r="L9" s="18"/>
      <c r="M9" s="70"/>
      <c r="N9" s="71"/>
    </row>
    <row r="10" spans="1:14" ht="18" customHeight="1">
      <c r="A10" s="4"/>
      <c r="B10" s="62"/>
      <c r="C10" s="23"/>
      <c r="D10" s="23"/>
      <c r="E10" s="23"/>
      <c r="F10" s="23"/>
      <c r="G10" s="23"/>
      <c r="H10" s="23"/>
      <c r="I10" s="23"/>
      <c r="J10" s="24"/>
      <c r="K10" s="95" t="s">
        <v>12</v>
      </c>
      <c r="L10" s="16"/>
      <c r="M10" s="72"/>
      <c r="N10" s="73"/>
    </row>
    <row r="11" spans="1:14" ht="18" customHeight="1">
      <c r="A11" s="4"/>
      <c r="B11" s="63" t="s">
        <v>10</v>
      </c>
      <c r="C11" s="64"/>
      <c r="D11" s="64"/>
      <c r="E11" s="64"/>
      <c r="F11" s="64"/>
      <c r="G11" s="64"/>
      <c r="H11" s="64"/>
      <c r="I11" s="64"/>
      <c r="J11" s="65"/>
      <c r="K11" s="96"/>
      <c r="L11" s="17"/>
      <c r="M11" s="66"/>
      <c r="N11" s="67"/>
    </row>
    <row r="12" spans="1:14" ht="18" customHeight="1">
      <c r="A12" s="4"/>
      <c r="B12" s="63"/>
      <c r="C12" s="64"/>
      <c r="D12" s="64"/>
      <c r="E12" s="64"/>
      <c r="F12" s="64"/>
      <c r="G12" s="64"/>
      <c r="H12" s="64"/>
      <c r="I12" s="64"/>
      <c r="J12" s="65"/>
      <c r="K12" s="96"/>
      <c r="L12" s="17"/>
      <c r="M12" s="66"/>
      <c r="N12" s="67"/>
    </row>
    <row r="13" spans="1:14" ht="18" customHeight="1">
      <c r="B13" s="3" t="s">
        <v>11</v>
      </c>
      <c r="C13" s="97" t="s">
        <v>12</v>
      </c>
      <c r="D13" s="99"/>
      <c r="E13" s="97" t="s">
        <v>13</v>
      </c>
      <c r="F13" s="99"/>
      <c r="G13" s="97" t="s">
        <v>14</v>
      </c>
      <c r="H13" s="99"/>
      <c r="I13" s="97" t="s">
        <v>15</v>
      </c>
      <c r="J13" s="98"/>
      <c r="K13" s="11"/>
      <c r="L13" s="17"/>
      <c r="M13" s="66"/>
      <c r="N13" s="67"/>
    </row>
    <row r="14" spans="1:14" ht="18" customHeight="1">
      <c r="B14" s="8"/>
      <c r="C14" s="74"/>
      <c r="D14" s="75"/>
      <c r="E14" s="74"/>
      <c r="F14" s="75"/>
      <c r="G14" s="74"/>
      <c r="H14" s="75"/>
      <c r="I14" s="74"/>
      <c r="J14" s="89"/>
      <c r="K14" s="11"/>
      <c r="L14" s="17"/>
      <c r="M14" s="66"/>
      <c r="N14" s="67"/>
    </row>
    <row r="15" spans="1:14" ht="18" customHeight="1">
      <c r="B15" s="6"/>
      <c r="C15" s="76"/>
      <c r="D15" s="77"/>
      <c r="E15" s="76"/>
      <c r="F15" s="77"/>
      <c r="G15" s="76"/>
      <c r="H15" s="77"/>
      <c r="I15" s="87"/>
      <c r="J15" s="88"/>
      <c r="K15" s="13"/>
      <c r="L15" s="19"/>
      <c r="M15" s="70"/>
      <c r="N15" s="71"/>
    </row>
    <row r="16" spans="1:14" ht="18" customHeight="1">
      <c r="B16" s="8"/>
      <c r="C16" s="74"/>
      <c r="D16" s="75"/>
      <c r="E16" s="74"/>
      <c r="F16" s="75"/>
      <c r="G16" s="74"/>
      <c r="H16" s="75"/>
      <c r="I16" s="83"/>
      <c r="J16" s="84"/>
      <c r="K16" s="109" t="s">
        <v>13</v>
      </c>
      <c r="L16" s="16"/>
      <c r="M16" s="72"/>
      <c r="N16" s="73"/>
    </row>
    <row r="17" spans="2:14" ht="18" customHeight="1">
      <c r="B17" s="6"/>
      <c r="C17" s="76"/>
      <c r="D17" s="77"/>
      <c r="E17" s="76"/>
      <c r="F17" s="77"/>
      <c r="G17" s="76"/>
      <c r="H17" s="77"/>
      <c r="I17" s="87"/>
      <c r="J17" s="88"/>
      <c r="K17" s="110"/>
      <c r="L17" s="17"/>
      <c r="M17" s="66"/>
      <c r="N17" s="67"/>
    </row>
    <row r="18" spans="2:14" ht="18" customHeight="1">
      <c r="B18" s="9"/>
      <c r="C18" s="92"/>
      <c r="D18" s="93"/>
      <c r="E18" s="92"/>
      <c r="F18" s="93"/>
      <c r="G18" s="92"/>
      <c r="H18" s="93"/>
      <c r="I18" s="92"/>
      <c r="J18" s="94"/>
      <c r="K18" s="110"/>
      <c r="L18" s="17"/>
      <c r="M18" s="66"/>
      <c r="N18" s="67"/>
    </row>
    <row r="19" spans="2:14" ht="18" customHeight="1">
      <c r="B19" s="6"/>
      <c r="C19" s="76"/>
      <c r="D19" s="77"/>
      <c r="E19" s="76"/>
      <c r="F19" s="77"/>
      <c r="G19" s="76"/>
      <c r="H19" s="77"/>
      <c r="I19" s="87"/>
      <c r="J19" s="88"/>
      <c r="K19" s="11"/>
      <c r="L19" s="17"/>
      <c r="M19" s="66"/>
      <c r="N19" s="67"/>
    </row>
    <row r="20" spans="2:14" ht="18" customHeight="1">
      <c r="B20" s="8"/>
      <c r="C20" s="74"/>
      <c r="D20" s="75"/>
      <c r="E20" s="74"/>
      <c r="F20" s="75"/>
      <c r="G20" s="74"/>
      <c r="H20" s="75"/>
      <c r="I20" s="74"/>
      <c r="J20" s="89"/>
      <c r="K20" s="11"/>
      <c r="L20" s="17"/>
      <c r="M20" s="66"/>
      <c r="N20" s="67"/>
    </row>
    <row r="21" spans="2:14" ht="18" customHeight="1">
      <c r="B21" s="6"/>
      <c r="C21" s="76"/>
      <c r="D21" s="77"/>
      <c r="E21" s="76"/>
      <c r="F21" s="77"/>
      <c r="G21" s="76"/>
      <c r="H21" s="77"/>
      <c r="I21" s="90"/>
      <c r="J21" s="91"/>
      <c r="K21" s="13"/>
      <c r="L21" s="19"/>
      <c r="M21" s="70"/>
      <c r="N21" s="71"/>
    </row>
    <row r="22" spans="2:14" ht="18" customHeight="1">
      <c r="B22" s="8"/>
      <c r="C22" s="74"/>
      <c r="D22" s="75"/>
      <c r="E22" s="74"/>
      <c r="F22" s="75"/>
      <c r="G22" s="74"/>
      <c r="H22" s="75"/>
      <c r="I22" s="74"/>
      <c r="J22" s="89"/>
      <c r="K22" s="109" t="s">
        <v>14</v>
      </c>
      <c r="L22" s="16"/>
      <c r="M22" s="72"/>
      <c r="N22" s="73"/>
    </row>
    <row r="23" spans="2:14" ht="18" customHeight="1">
      <c r="B23" s="6"/>
      <c r="C23" s="76"/>
      <c r="D23" s="77"/>
      <c r="E23" s="76"/>
      <c r="F23" s="77"/>
      <c r="G23" s="76"/>
      <c r="H23" s="77"/>
      <c r="I23" s="87"/>
      <c r="J23" s="88"/>
      <c r="K23" s="110"/>
      <c r="L23" s="17"/>
      <c r="M23" s="66"/>
      <c r="N23" s="67"/>
    </row>
    <row r="24" spans="2:14" ht="18" customHeight="1">
      <c r="B24" s="8"/>
      <c r="C24" s="74"/>
      <c r="D24" s="75"/>
      <c r="E24" s="74"/>
      <c r="F24" s="75"/>
      <c r="G24" s="74"/>
      <c r="H24" s="75"/>
      <c r="I24" s="74"/>
      <c r="J24" s="89"/>
      <c r="K24" s="110"/>
      <c r="L24" s="17"/>
      <c r="M24" s="66"/>
      <c r="N24" s="67"/>
    </row>
    <row r="25" spans="2:14" ht="18" customHeight="1">
      <c r="B25" s="6"/>
      <c r="C25" s="76"/>
      <c r="D25" s="77"/>
      <c r="E25" s="76"/>
      <c r="F25" s="77"/>
      <c r="G25" s="76"/>
      <c r="H25" s="77"/>
      <c r="I25" s="87"/>
      <c r="J25" s="88"/>
      <c r="K25" s="110"/>
      <c r="L25" s="17"/>
      <c r="M25" s="66"/>
      <c r="N25" s="67"/>
    </row>
    <row r="26" spans="2:14" ht="18" customHeight="1">
      <c r="B26" s="8"/>
      <c r="C26" s="74"/>
      <c r="D26" s="75"/>
      <c r="E26" s="74"/>
      <c r="F26" s="75"/>
      <c r="G26" s="74"/>
      <c r="H26" s="75"/>
      <c r="I26" s="74"/>
      <c r="J26" s="89"/>
      <c r="K26" s="11"/>
      <c r="L26" s="17"/>
      <c r="M26" s="66"/>
      <c r="N26" s="67"/>
    </row>
    <row r="27" spans="2:14" ht="18" customHeight="1">
      <c r="B27" s="6"/>
      <c r="C27" s="76"/>
      <c r="D27" s="77"/>
      <c r="E27" s="76"/>
      <c r="F27" s="77"/>
      <c r="G27" s="76"/>
      <c r="H27" s="77"/>
      <c r="I27" s="87"/>
      <c r="J27" s="88"/>
      <c r="K27" s="13"/>
      <c r="L27" s="19"/>
      <c r="M27" s="70"/>
      <c r="N27" s="71"/>
    </row>
    <row r="28" spans="2:14" ht="18" customHeight="1">
      <c r="B28" s="8"/>
      <c r="C28" s="74"/>
      <c r="D28" s="75"/>
      <c r="E28" s="74"/>
      <c r="F28" s="75"/>
      <c r="G28" s="74"/>
      <c r="H28" s="75"/>
      <c r="I28" s="74"/>
      <c r="J28" s="89"/>
      <c r="K28" s="95" t="s">
        <v>15</v>
      </c>
      <c r="L28" s="16"/>
      <c r="M28" s="72"/>
      <c r="N28" s="73"/>
    </row>
    <row r="29" spans="2:14" ht="18" customHeight="1">
      <c r="B29" s="6"/>
      <c r="C29" s="76"/>
      <c r="D29" s="77"/>
      <c r="E29" s="76"/>
      <c r="F29" s="77"/>
      <c r="G29" s="76"/>
      <c r="H29" s="77"/>
      <c r="I29" s="76"/>
      <c r="J29" s="82"/>
      <c r="K29" s="96"/>
      <c r="L29" s="17"/>
      <c r="M29" s="66"/>
      <c r="N29" s="67"/>
    </row>
    <row r="30" spans="2:14" ht="18" customHeight="1">
      <c r="B30" s="8"/>
      <c r="C30" s="74"/>
      <c r="D30" s="75"/>
      <c r="E30" s="74"/>
      <c r="F30" s="75"/>
      <c r="G30" s="74"/>
      <c r="H30" s="75"/>
      <c r="I30" s="80"/>
      <c r="J30" s="81"/>
      <c r="K30" s="96"/>
      <c r="L30" s="17"/>
      <c r="M30" s="66"/>
      <c r="N30" s="67"/>
    </row>
    <row r="31" spans="2:14" ht="18" customHeight="1">
      <c r="B31" s="6"/>
      <c r="C31" s="76"/>
      <c r="D31" s="77"/>
      <c r="E31" s="76"/>
      <c r="F31" s="77"/>
      <c r="G31" s="76"/>
      <c r="H31" s="77"/>
      <c r="I31" s="76"/>
      <c r="J31" s="82"/>
      <c r="K31" s="14"/>
      <c r="L31" s="17"/>
      <c r="M31" s="66"/>
      <c r="N31" s="67"/>
    </row>
    <row r="32" spans="2:14" ht="18" customHeight="1">
      <c r="B32" s="8"/>
      <c r="C32" s="74"/>
      <c r="D32" s="75"/>
      <c r="E32" s="74"/>
      <c r="F32" s="75"/>
      <c r="G32" s="74"/>
      <c r="H32" s="75"/>
      <c r="I32" s="83"/>
      <c r="J32" s="84"/>
      <c r="K32" s="14"/>
      <c r="L32" s="17"/>
      <c r="M32" s="66"/>
      <c r="N32" s="67"/>
    </row>
    <row r="33" spans="2:14" ht="18" customHeight="1">
      <c r="B33" s="7"/>
      <c r="C33" s="78"/>
      <c r="D33" s="79"/>
      <c r="E33" s="78"/>
      <c r="F33" s="79"/>
      <c r="G33" s="78"/>
      <c r="H33" s="79"/>
      <c r="I33" s="85"/>
      <c r="J33" s="86"/>
      <c r="K33" s="15"/>
      <c r="L33" s="20"/>
      <c r="M33" s="68"/>
      <c r="N33" s="69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23" priority="3" stopIfTrue="1">
      <formula>DAY(C4)&gt;8</formula>
    </cfRule>
  </conditionalFormatting>
  <conditionalFormatting sqref="C8:I10">
    <cfRule type="expression" dxfId="22" priority="2" stopIfTrue="1">
      <formula>AND(DAY(C8)&gt;=1,DAY(C8)&lt;=15)</formula>
    </cfRule>
  </conditionalFormatting>
  <conditionalFormatting sqref="C4:I9">
    <cfRule type="expression" dxfId="21" priority="4">
      <formula>VLOOKUP(DAY(C4),DíasDeTareas,1,FALSE)=DAY(C4)</formula>
    </cfRule>
  </conditionalFormatting>
  <conditionalFormatting sqref="B14:J33">
    <cfRule type="expression" dxfId="20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AO33"/>
  <sheetViews>
    <sheetView showGridLines="0" topLeftCell="A7" zoomScaleNormal="100" zoomScalePageLayoutView="84" workbookViewId="0">
      <selection activeCell="B15" sqref="B15:J31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0" t="s">
        <v>20</v>
      </c>
      <c r="C2" s="21"/>
      <c r="D2" s="21"/>
      <c r="E2" s="21"/>
      <c r="F2" s="21"/>
      <c r="G2" s="21"/>
      <c r="H2" s="21"/>
      <c r="I2" s="21"/>
      <c r="J2" s="22"/>
      <c r="K2" s="100" t="s">
        <v>3</v>
      </c>
      <c r="L2" s="101">
        <v>2013</v>
      </c>
      <c r="M2" s="101"/>
      <c r="N2" s="25"/>
    </row>
    <row r="3" spans="1:14" ht="21" customHeight="1">
      <c r="A3" s="4"/>
      <c r="B3" s="61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2"/>
      <c r="L3" s="103"/>
      <c r="M3" s="103"/>
      <c r="N3" s="26"/>
    </row>
    <row r="4" spans="1:14" ht="18" customHeight="1">
      <c r="A4" s="4"/>
      <c r="B4" s="61"/>
      <c r="C4" s="10">
        <f>IF(DAY(MayDom1)=1,MayDom1-6,MayDom1+1)</f>
        <v>43220</v>
      </c>
      <c r="D4" s="10">
        <f>IF(DAY(MayDom1)=1,MayDom1-5,MayDom1+2)</f>
        <v>43221</v>
      </c>
      <c r="E4" s="10">
        <f>IF(DAY(MayDom1)=1,MayDom1-4,MayDom1+3)</f>
        <v>43222</v>
      </c>
      <c r="F4" s="10">
        <f>IF(DAY(MayDom1)=1,MayDom1-3,MayDom1+4)</f>
        <v>43223</v>
      </c>
      <c r="G4" s="10">
        <f>IF(DAY(MayDom1)=1,MayDom1-2,MayDom1+5)</f>
        <v>43224</v>
      </c>
      <c r="H4" s="10">
        <f>IF(DAY(MayDom1)=1,MayDom1-1,MayDom1+6)</f>
        <v>43225</v>
      </c>
      <c r="I4" s="10">
        <f>IF(DAY(MayDom1)=1,MayDom1,MayDom1+7)</f>
        <v>43226</v>
      </c>
      <c r="J4" s="5"/>
      <c r="K4" s="104" t="s">
        <v>11</v>
      </c>
      <c r="L4" s="16"/>
      <c r="M4" s="105"/>
      <c r="N4" s="106"/>
    </row>
    <row r="5" spans="1:14" ht="18" customHeight="1">
      <c r="A5" s="4"/>
      <c r="B5" s="61"/>
      <c r="C5" s="10">
        <f>IF(DAY(MayDom1)=1,MayDom1+1,MayDom1+8)</f>
        <v>43227</v>
      </c>
      <c r="D5" s="10">
        <f>IF(DAY(MayDom1)=1,MayDom1+2,MayDom1+9)</f>
        <v>43228</v>
      </c>
      <c r="E5" s="10">
        <f>IF(DAY(MayDom1)=1,MayDom1+3,MayDom1+10)</f>
        <v>43229</v>
      </c>
      <c r="F5" s="10">
        <f>IF(DAY(MayDom1)=1,MayDom1+4,MayDom1+11)</f>
        <v>43230</v>
      </c>
      <c r="G5" s="10">
        <f>IF(DAY(MayDom1)=1,MayDom1+5,MayDom1+12)</f>
        <v>43231</v>
      </c>
      <c r="H5" s="10">
        <f>IF(DAY(MayDom1)=1,MayDom1+6,MayDom1+13)</f>
        <v>43232</v>
      </c>
      <c r="I5" s="10">
        <f>IF(DAY(MayDom1)=1,MayDom1+7,MayDom1+14)</f>
        <v>43233</v>
      </c>
      <c r="J5" s="5"/>
      <c r="K5" s="96"/>
      <c r="L5" s="17"/>
      <c r="M5" s="66"/>
      <c r="N5" s="67"/>
    </row>
    <row r="6" spans="1:14" ht="18" customHeight="1">
      <c r="A6" s="4"/>
      <c r="B6" s="61"/>
      <c r="C6" s="10">
        <f>IF(DAY(MayDom1)=1,MayDom1+8,MayDom1+15)</f>
        <v>43234</v>
      </c>
      <c r="D6" s="10">
        <f>IF(DAY(MayDom1)=1,MayDom1+9,MayDom1+16)</f>
        <v>43235</v>
      </c>
      <c r="E6" s="10">
        <f>IF(DAY(MayDom1)=1,MayDom1+10,MayDom1+17)</f>
        <v>43236</v>
      </c>
      <c r="F6" s="10">
        <f>IF(DAY(MayDom1)=1,MayDom1+11,MayDom1+18)</f>
        <v>43237</v>
      </c>
      <c r="G6" s="10">
        <f>IF(DAY(MayDom1)=1,MayDom1+12,MayDom1+19)</f>
        <v>43238</v>
      </c>
      <c r="H6" s="10">
        <f>IF(DAY(MayDom1)=1,MayDom1+13,MayDom1+20)</f>
        <v>43239</v>
      </c>
      <c r="I6" s="10">
        <f>IF(DAY(MayDom1)=1,MayDom1+14,MayDom1+21)</f>
        <v>43240</v>
      </c>
      <c r="J6" s="5"/>
      <c r="K6" s="96"/>
      <c r="L6" s="17"/>
      <c r="M6" s="66"/>
      <c r="N6" s="67"/>
    </row>
    <row r="7" spans="1:14" ht="18" customHeight="1">
      <c r="A7" s="4"/>
      <c r="B7" s="61"/>
      <c r="C7" s="10">
        <f>IF(DAY(MayDom1)=1,MayDom1+15,MayDom1+22)</f>
        <v>43241</v>
      </c>
      <c r="D7" s="10">
        <f>IF(DAY(MayDom1)=1,MayDom1+16,MayDom1+23)</f>
        <v>43242</v>
      </c>
      <c r="E7" s="10">
        <f>IF(DAY(MayDom1)=1,MayDom1+17,MayDom1+24)</f>
        <v>43243</v>
      </c>
      <c r="F7" s="10">
        <f>IF(DAY(MayDom1)=1,MayDom1+18,MayDom1+25)</f>
        <v>43244</v>
      </c>
      <c r="G7" s="10">
        <f>IF(DAY(MayDom1)=1,MayDom1+19,MayDom1+26)</f>
        <v>43245</v>
      </c>
      <c r="H7" s="10">
        <f>IF(DAY(MayDom1)=1,MayDom1+20,MayDom1+27)</f>
        <v>43246</v>
      </c>
      <c r="I7" s="10">
        <f>IF(DAY(MayDom1)=1,MayDom1+21,MayDom1+28)</f>
        <v>43247</v>
      </c>
      <c r="J7" s="5"/>
      <c r="K7" s="11"/>
      <c r="L7" s="17"/>
      <c r="M7" s="66"/>
      <c r="N7" s="67"/>
    </row>
    <row r="8" spans="1:14" ht="18.75" customHeight="1">
      <c r="A8" s="4"/>
      <c r="B8" s="61"/>
      <c r="C8" s="10">
        <f>IF(DAY(MayDom1)=1,MayDom1+22,MayDom1+29)</f>
        <v>43248</v>
      </c>
      <c r="D8" s="10">
        <f>IF(DAY(MayDom1)=1,MayDom1+23,MayDom1+30)</f>
        <v>43249</v>
      </c>
      <c r="E8" s="10">
        <f>IF(DAY(MayDom1)=1,MayDom1+24,MayDom1+31)</f>
        <v>43250</v>
      </c>
      <c r="F8" s="10">
        <f>IF(DAY(MayDom1)=1,MayDom1+25,MayDom1+32)</f>
        <v>43251</v>
      </c>
      <c r="G8" s="10">
        <f>IF(DAY(MayDom1)=1,MayDom1+26,MayDom1+33)</f>
        <v>43252</v>
      </c>
      <c r="H8" s="10">
        <f>IF(DAY(MayDom1)=1,MayDom1+27,MayDom1+34)</f>
        <v>43253</v>
      </c>
      <c r="I8" s="10">
        <f>IF(DAY(MayDom1)=1,MayDom1+28,MayDom1+35)</f>
        <v>43254</v>
      </c>
      <c r="J8" s="5"/>
      <c r="K8" s="11"/>
      <c r="L8" s="17"/>
      <c r="M8" s="66"/>
      <c r="N8" s="67"/>
    </row>
    <row r="9" spans="1:14" ht="18" customHeight="1">
      <c r="A9" s="4"/>
      <c r="B9" s="61"/>
      <c r="C9" s="10">
        <f>IF(DAY(MayDom1)=1,MayDom1+29,MayDom1+36)</f>
        <v>43255</v>
      </c>
      <c r="D9" s="10">
        <f>IF(DAY(MayDom1)=1,MayDom1+30,MayDom1+37)</f>
        <v>43256</v>
      </c>
      <c r="E9" s="10">
        <f>IF(DAY(MayDom1)=1,MayDom1+31,MayDom1+38)</f>
        <v>43257</v>
      </c>
      <c r="F9" s="10">
        <f>IF(DAY(MayDom1)=1,MayDom1+32,MayDom1+39)</f>
        <v>43258</v>
      </c>
      <c r="G9" s="10">
        <f>IF(DAY(MayDom1)=1,MayDom1+33,MayDom1+40)</f>
        <v>43259</v>
      </c>
      <c r="H9" s="10">
        <f>IF(DAY(MayDom1)=1,MayDom1+34,MayDom1+41)</f>
        <v>43260</v>
      </c>
      <c r="I9" s="10">
        <f>IF(DAY(MayDom1)=1,MayDom1+35,MayDom1+42)</f>
        <v>43261</v>
      </c>
      <c r="J9" s="5"/>
      <c r="K9" s="12"/>
      <c r="L9" s="18"/>
      <c r="M9" s="70"/>
      <c r="N9" s="71"/>
    </row>
    <row r="10" spans="1:14" ht="18" customHeight="1">
      <c r="A10" s="4"/>
      <c r="B10" s="62"/>
      <c r="C10" s="23"/>
      <c r="D10" s="23"/>
      <c r="E10" s="23"/>
      <c r="F10" s="23"/>
      <c r="G10" s="23"/>
      <c r="H10" s="23"/>
      <c r="I10" s="23"/>
      <c r="J10" s="24"/>
      <c r="K10" s="95" t="s">
        <v>12</v>
      </c>
      <c r="L10" s="16"/>
      <c r="M10" s="72"/>
      <c r="N10" s="73"/>
    </row>
    <row r="11" spans="1:14" ht="18" customHeight="1">
      <c r="A11" s="4"/>
      <c r="B11" s="63" t="s">
        <v>10</v>
      </c>
      <c r="C11" s="64"/>
      <c r="D11" s="64"/>
      <c r="E11" s="64"/>
      <c r="F11" s="64"/>
      <c r="G11" s="64"/>
      <c r="H11" s="64"/>
      <c r="I11" s="64"/>
      <c r="J11" s="65"/>
      <c r="K11" s="96"/>
      <c r="L11" s="17"/>
      <c r="M11" s="66"/>
      <c r="N11" s="67"/>
    </row>
    <row r="12" spans="1:14" ht="18" customHeight="1">
      <c r="A12" s="4"/>
      <c r="B12" s="63"/>
      <c r="C12" s="64"/>
      <c r="D12" s="64"/>
      <c r="E12" s="64"/>
      <c r="F12" s="64"/>
      <c r="G12" s="64"/>
      <c r="H12" s="64"/>
      <c r="I12" s="64"/>
      <c r="J12" s="65"/>
      <c r="K12" s="96"/>
      <c r="L12" s="17"/>
      <c r="M12" s="66"/>
      <c r="N12" s="67"/>
    </row>
    <row r="13" spans="1:14" ht="18" customHeight="1">
      <c r="B13" s="3" t="s">
        <v>11</v>
      </c>
      <c r="C13" s="97" t="s">
        <v>12</v>
      </c>
      <c r="D13" s="99"/>
      <c r="E13" s="97" t="s">
        <v>13</v>
      </c>
      <c r="F13" s="99"/>
      <c r="G13" s="97" t="s">
        <v>14</v>
      </c>
      <c r="H13" s="99"/>
      <c r="I13" s="97" t="s">
        <v>15</v>
      </c>
      <c r="J13" s="98"/>
      <c r="K13" s="11"/>
      <c r="L13" s="17"/>
      <c r="M13" s="66"/>
      <c r="N13" s="67"/>
    </row>
    <row r="14" spans="1:14" ht="18" customHeight="1">
      <c r="B14" s="8" t="s">
        <v>2</v>
      </c>
      <c r="C14" s="74"/>
      <c r="D14" s="75"/>
      <c r="E14" s="74" t="s">
        <v>2</v>
      </c>
      <c r="F14" s="75"/>
      <c r="G14" s="74"/>
      <c r="H14" s="75"/>
      <c r="I14" s="74" t="s">
        <v>2</v>
      </c>
      <c r="J14" s="89"/>
      <c r="K14" s="11"/>
      <c r="L14" s="17"/>
      <c r="M14" s="66"/>
      <c r="N14" s="67"/>
    </row>
    <row r="15" spans="1:14" ht="18" customHeight="1">
      <c r="B15" s="6"/>
      <c r="C15" s="76"/>
      <c r="D15" s="77"/>
      <c r="E15" s="76"/>
      <c r="F15" s="77"/>
      <c r="G15" s="76"/>
      <c r="H15" s="77"/>
      <c r="I15" s="87"/>
      <c r="J15" s="88"/>
      <c r="K15" s="13"/>
      <c r="L15" s="19"/>
      <c r="M15" s="70"/>
      <c r="N15" s="71"/>
    </row>
    <row r="16" spans="1:14" ht="18" customHeight="1">
      <c r="B16" s="8"/>
      <c r="C16" s="74"/>
      <c r="D16" s="75"/>
      <c r="E16" s="74"/>
      <c r="F16" s="75"/>
      <c r="G16" s="74"/>
      <c r="H16" s="75"/>
      <c r="I16" s="83"/>
      <c r="J16" s="84"/>
      <c r="K16" s="109" t="s">
        <v>13</v>
      </c>
      <c r="L16" s="16"/>
      <c r="M16" s="72"/>
      <c r="N16" s="73"/>
    </row>
    <row r="17" spans="2:14" ht="18" customHeight="1">
      <c r="B17" s="6"/>
      <c r="C17" s="76"/>
      <c r="D17" s="77"/>
      <c r="E17" s="76"/>
      <c r="F17" s="77"/>
      <c r="G17" s="76"/>
      <c r="H17" s="77"/>
      <c r="I17" s="87"/>
      <c r="J17" s="88"/>
      <c r="K17" s="110"/>
      <c r="L17" s="17"/>
      <c r="M17" s="66"/>
      <c r="N17" s="67"/>
    </row>
    <row r="18" spans="2:14" ht="18" customHeight="1">
      <c r="B18" s="9"/>
      <c r="C18" s="92"/>
      <c r="D18" s="93"/>
      <c r="E18" s="92"/>
      <c r="F18" s="93"/>
      <c r="G18" s="92"/>
      <c r="H18" s="93"/>
      <c r="I18" s="92"/>
      <c r="J18" s="94"/>
      <c r="K18" s="110"/>
      <c r="L18" s="17"/>
      <c r="M18" s="66"/>
      <c r="N18" s="67"/>
    </row>
    <row r="19" spans="2:14" ht="18" customHeight="1">
      <c r="B19" s="6"/>
      <c r="C19" s="76"/>
      <c r="D19" s="77"/>
      <c r="E19" s="76"/>
      <c r="F19" s="77"/>
      <c r="G19" s="76"/>
      <c r="H19" s="77"/>
      <c r="I19" s="87"/>
      <c r="J19" s="88"/>
      <c r="K19" s="11"/>
      <c r="L19" s="17"/>
      <c r="M19" s="66"/>
      <c r="N19" s="67"/>
    </row>
    <row r="20" spans="2:14" ht="18" customHeight="1">
      <c r="B20" s="8"/>
      <c r="C20" s="74"/>
      <c r="D20" s="75"/>
      <c r="E20" s="74"/>
      <c r="F20" s="75"/>
      <c r="G20" s="74"/>
      <c r="H20" s="75"/>
      <c r="I20" s="74"/>
      <c r="J20" s="89"/>
      <c r="K20" s="11"/>
      <c r="L20" s="17"/>
      <c r="M20" s="66"/>
      <c r="N20" s="67"/>
    </row>
    <row r="21" spans="2:14" ht="18" customHeight="1">
      <c r="B21" s="6"/>
      <c r="C21" s="76"/>
      <c r="D21" s="77"/>
      <c r="E21" s="76"/>
      <c r="F21" s="77"/>
      <c r="G21" s="76"/>
      <c r="H21" s="77"/>
      <c r="I21" s="90"/>
      <c r="J21" s="91"/>
      <c r="K21" s="13"/>
      <c r="L21" s="19"/>
      <c r="M21" s="70"/>
      <c r="N21" s="71"/>
    </row>
    <row r="22" spans="2:14" ht="18" customHeight="1">
      <c r="B22" s="8"/>
      <c r="C22" s="74"/>
      <c r="D22" s="75"/>
      <c r="E22" s="74"/>
      <c r="F22" s="75"/>
      <c r="G22" s="74"/>
      <c r="H22" s="75"/>
      <c r="I22" s="74"/>
      <c r="J22" s="89"/>
      <c r="K22" s="109" t="s">
        <v>14</v>
      </c>
      <c r="L22" s="16"/>
      <c r="M22" s="72"/>
      <c r="N22" s="73"/>
    </row>
    <row r="23" spans="2:14" ht="18" customHeight="1">
      <c r="B23" s="6"/>
      <c r="C23" s="76"/>
      <c r="D23" s="77"/>
      <c r="E23" s="76"/>
      <c r="F23" s="77"/>
      <c r="G23" s="76"/>
      <c r="H23" s="77"/>
      <c r="I23" s="87"/>
      <c r="J23" s="88"/>
      <c r="K23" s="110"/>
      <c r="L23" s="17"/>
      <c r="M23" s="66"/>
      <c r="N23" s="67"/>
    </row>
    <row r="24" spans="2:14" ht="18" customHeight="1">
      <c r="B24" s="8"/>
      <c r="C24" s="74"/>
      <c r="D24" s="75"/>
      <c r="E24" s="74"/>
      <c r="F24" s="75"/>
      <c r="G24" s="74"/>
      <c r="H24" s="75"/>
      <c r="I24" s="74"/>
      <c r="J24" s="89"/>
      <c r="K24" s="110"/>
      <c r="L24" s="17"/>
      <c r="M24" s="66"/>
      <c r="N24" s="67"/>
    </row>
    <row r="25" spans="2:14" ht="18" customHeight="1">
      <c r="B25" s="6"/>
      <c r="C25" s="76"/>
      <c r="D25" s="77"/>
      <c r="E25" s="76"/>
      <c r="F25" s="77"/>
      <c r="G25" s="76"/>
      <c r="H25" s="77"/>
      <c r="I25" s="87"/>
      <c r="J25" s="88"/>
      <c r="K25" s="110"/>
      <c r="L25" s="17"/>
      <c r="M25" s="66"/>
      <c r="N25" s="67"/>
    </row>
    <row r="26" spans="2:14" ht="18" customHeight="1">
      <c r="B26" s="8"/>
      <c r="C26" s="74"/>
      <c r="D26" s="75"/>
      <c r="E26" s="74"/>
      <c r="F26" s="75"/>
      <c r="G26" s="74"/>
      <c r="H26" s="75"/>
      <c r="I26" s="74"/>
      <c r="J26" s="89"/>
      <c r="K26" s="11"/>
      <c r="L26" s="17"/>
      <c r="M26" s="66"/>
      <c r="N26" s="67"/>
    </row>
    <row r="27" spans="2:14" ht="18" customHeight="1">
      <c r="B27" s="6"/>
      <c r="C27" s="76"/>
      <c r="D27" s="77"/>
      <c r="E27" s="76"/>
      <c r="F27" s="77"/>
      <c r="G27" s="76"/>
      <c r="H27" s="77"/>
      <c r="I27" s="87"/>
      <c r="J27" s="88"/>
      <c r="K27" s="13"/>
      <c r="L27" s="19"/>
      <c r="M27" s="70"/>
      <c r="N27" s="71"/>
    </row>
    <row r="28" spans="2:14" ht="18" customHeight="1">
      <c r="B28" s="8"/>
      <c r="C28" s="74"/>
      <c r="D28" s="75"/>
      <c r="E28" s="74"/>
      <c r="F28" s="75"/>
      <c r="G28" s="74"/>
      <c r="H28" s="75"/>
      <c r="I28" s="74"/>
      <c r="J28" s="89"/>
      <c r="K28" s="95" t="s">
        <v>15</v>
      </c>
      <c r="L28" s="16"/>
      <c r="M28" s="72"/>
      <c r="N28" s="73"/>
    </row>
    <row r="29" spans="2:14" ht="18" customHeight="1">
      <c r="B29" s="6"/>
      <c r="C29" s="76"/>
      <c r="D29" s="77"/>
      <c r="E29" s="76"/>
      <c r="F29" s="77"/>
      <c r="G29" s="76"/>
      <c r="H29" s="77"/>
      <c r="I29" s="76"/>
      <c r="J29" s="82"/>
      <c r="K29" s="96"/>
      <c r="L29" s="17"/>
      <c r="M29" s="66"/>
      <c r="N29" s="67"/>
    </row>
    <row r="30" spans="2:14" ht="18" customHeight="1">
      <c r="B30" s="8"/>
      <c r="C30" s="74"/>
      <c r="D30" s="75"/>
      <c r="E30" s="74"/>
      <c r="F30" s="75"/>
      <c r="G30" s="74"/>
      <c r="H30" s="75"/>
      <c r="I30" s="80"/>
      <c r="J30" s="81"/>
      <c r="K30" s="96"/>
      <c r="L30" s="17"/>
      <c r="M30" s="66"/>
      <c r="N30" s="67"/>
    </row>
    <row r="31" spans="2:14" ht="18" customHeight="1">
      <c r="B31" s="6"/>
      <c r="C31" s="76"/>
      <c r="D31" s="77"/>
      <c r="E31" s="76"/>
      <c r="F31" s="77"/>
      <c r="G31" s="76"/>
      <c r="H31" s="77"/>
      <c r="I31" s="76"/>
      <c r="J31" s="82"/>
      <c r="K31" s="14"/>
      <c r="L31" s="17"/>
      <c r="M31" s="66"/>
      <c r="N31" s="67"/>
    </row>
    <row r="32" spans="2:14" ht="18" customHeight="1">
      <c r="B32" s="8"/>
      <c r="C32" s="74"/>
      <c r="D32" s="75"/>
      <c r="E32" s="74"/>
      <c r="F32" s="75"/>
      <c r="G32" s="74"/>
      <c r="H32" s="75"/>
      <c r="I32" s="83"/>
      <c r="J32" s="84"/>
      <c r="K32" s="14"/>
      <c r="L32" s="17"/>
      <c r="M32" s="66"/>
      <c r="N32" s="67"/>
    </row>
    <row r="33" spans="2:14" ht="18" customHeight="1">
      <c r="B33" s="7"/>
      <c r="C33" s="78"/>
      <c r="D33" s="79"/>
      <c r="E33" s="78"/>
      <c r="F33" s="79"/>
      <c r="G33" s="78"/>
      <c r="H33" s="79"/>
      <c r="I33" s="85"/>
      <c r="J33" s="86"/>
      <c r="K33" s="15"/>
      <c r="L33" s="20"/>
      <c r="M33" s="68"/>
      <c r="N33" s="69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9" priority="3" stopIfTrue="1">
      <formula>DAY(C4)&gt;8</formula>
    </cfRule>
  </conditionalFormatting>
  <conditionalFormatting sqref="C8:I10">
    <cfRule type="expression" dxfId="18" priority="2" stopIfTrue="1">
      <formula>AND(DAY(C8)&gt;=1,DAY(C8)&lt;=15)</formula>
    </cfRule>
  </conditionalFormatting>
  <conditionalFormatting sqref="C4:I9">
    <cfRule type="expression" dxfId="17" priority="4">
      <formula>VLOOKUP(DAY(C4),DíasDeTareas,1,FALSE)=DAY(C4)</formula>
    </cfRule>
  </conditionalFormatting>
  <conditionalFormatting sqref="B14:J33">
    <cfRule type="expression" dxfId="16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fitToPage="1"/>
  </sheetPr>
  <dimension ref="A1:AO33"/>
  <sheetViews>
    <sheetView showGridLines="0" topLeftCell="A9" zoomScaleNormal="100" zoomScalePageLayoutView="84" workbookViewId="0">
      <selection activeCell="M25" sqref="M24:N25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0" t="s">
        <v>19</v>
      </c>
      <c r="C2" s="21"/>
      <c r="D2" s="21"/>
      <c r="E2" s="21"/>
      <c r="F2" s="21"/>
      <c r="G2" s="21"/>
      <c r="H2" s="21"/>
      <c r="I2" s="21"/>
      <c r="J2" s="22"/>
      <c r="K2" s="100" t="s">
        <v>3</v>
      </c>
      <c r="L2" s="101">
        <v>2013</v>
      </c>
      <c r="M2" s="101"/>
      <c r="N2" s="25"/>
    </row>
    <row r="3" spans="1:14" ht="21" customHeight="1">
      <c r="A3" s="4"/>
      <c r="B3" s="61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2"/>
      <c r="L3" s="103"/>
      <c r="M3" s="103"/>
      <c r="N3" s="26"/>
    </row>
    <row r="4" spans="1:14" ht="18" customHeight="1">
      <c r="A4" s="4"/>
      <c r="B4" s="61"/>
      <c r="C4" s="10">
        <f>IF(DAY(JunDom1)=1,JunDom1-6,JunDom1+1)</f>
        <v>43248</v>
      </c>
      <c r="D4" s="10">
        <f>IF(DAY(JunDom1)=1,JunDom1-5,JunDom1+2)</f>
        <v>43249</v>
      </c>
      <c r="E4" s="10">
        <f>IF(DAY(JunDom1)=1,JunDom1-4,JunDom1+3)</f>
        <v>43250</v>
      </c>
      <c r="F4" s="10">
        <f>IF(DAY(JunDom1)=1,JunDom1-3,JunDom1+4)</f>
        <v>43251</v>
      </c>
      <c r="G4" s="10">
        <f>IF(DAY(JunDom1)=1,JunDom1-2,JunDom1+5)</f>
        <v>43252</v>
      </c>
      <c r="H4" s="10">
        <f>IF(DAY(JunDom1)=1,JunDom1-1,JunDom1+6)</f>
        <v>43253</v>
      </c>
      <c r="I4" s="10">
        <f>IF(DAY(JunDom1)=1,JunDom1,JunDom1+7)</f>
        <v>43254</v>
      </c>
      <c r="J4" s="5"/>
      <c r="K4" s="104" t="s">
        <v>11</v>
      </c>
      <c r="L4" s="16"/>
      <c r="M4" s="105"/>
      <c r="N4" s="106"/>
    </row>
    <row r="5" spans="1:14" ht="18" customHeight="1">
      <c r="A5" s="4"/>
      <c r="B5" s="61"/>
      <c r="C5" s="10">
        <f>IF(DAY(JunDom1)=1,JunDom1+1,JunDom1+8)</f>
        <v>43255</v>
      </c>
      <c r="D5" s="10">
        <f>IF(DAY(JunDom1)=1,JunDom1+2,JunDom1+9)</f>
        <v>43256</v>
      </c>
      <c r="E5" s="10">
        <f>IF(DAY(JunDom1)=1,JunDom1+3,JunDom1+10)</f>
        <v>43257</v>
      </c>
      <c r="F5" s="10">
        <f>IF(DAY(JunDom1)=1,JunDom1+4,JunDom1+11)</f>
        <v>43258</v>
      </c>
      <c r="G5" s="10">
        <f>IF(DAY(JunDom1)=1,JunDom1+5,JunDom1+12)</f>
        <v>43259</v>
      </c>
      <c r="H5" s="10">
        <f>IF(DAY(JunDom1)=1,JunDom1+6,JunDom1+13)</f>
        <v>43260</v>
      </c>
      <c r="I5" s="10">
        <f>IF(DAY(JunDom1)=1,JunDom1+7,JunDom1+14)</f>
        <v>43261</v>
      </c>
      <c r="J5" s="5"/>
      <c r="K5" s="96"/>
      <c r="L5" s="17"/>
      <c r="M5" s="66"/>
      <c r="N5" s="67"/>
    </row>
    <row r="6" spans="1:14" ht="18" customHeight="1">
      <c r="A6" s="4"/>
      <c r="B6" s="61"/>
      <c r="C6" s="10">
        <f>IF(DAY(JunDom1)=1,JunDom1+8,JunDom1+15)</f>
        <v>43262</v>
      </c>
      <c r="D6" s="10">
        <f>IF(DAY(JunDom1)=1,JunDom1+9,JunDom1+16)</f>
        <v>43263</v>
      </c>
      <c r="E6" s="10">
        <f>IF(DAY(JunDom1)=1,JunDom1+10,JunDom1+17)</f>
        <v>43264</v>
      </c>
      <c r="F6" s="10">
        <f>IF(DAY(JunDom1)=1,JunDom1+11,JunDom1+18)</f>
        <v>43265</v>
      </c>
      <c r="G6" s="10">
        <f>IF(DAY(JunDom1)=1,JunDom1+12,JunDom1+19)</f>
        <v>43266</v>
      </c>
      <c r="H6" s="10">
        <f>IF(DAY(JunDom1)=1,JunDom1+13,JunDom1+20)</f>
        <v>43267</v>
      </c>
      <c r="I6" s="10">
        <f>IF(DAY(JunDom1)=1,JunDom1+14,JunDom1+21)</f>
        <v>43268</v>
      </c>
      <c r="J6" s="5"/>
      <c r="K6" s="96"/>
      <c r="L6" s="17"/>
      <c r="M6" s="66"/>
      <c r="N6" s="67"/>
    </row>
    <row r="7" spans="1:14" ht="18" customHeight="1">
      <c r="A7" s="4"/>
      <c r="B7" s="61"/>
      <c r="C7" s="10">
        <f>IF(DAY(JunDom1)=1,JunDom1+15,JunDom1+22)</f>
        <v>43269</v>
      </c>
      <c r="D7" s="10">
        <f>IF(DAY(JunDom1)=1,JunDom1+16,JunDom1+23)</f>
        <v>43270</v>
      </c>
      <c r="E7" s="10">
        <f>IF(DAY(JunDom1)=1,JunDom1+17,JunDom1+24)</f>
        <v>43271</v>
      </c>
      <c r="F7" s="10">
        <f>IF(DAY(JunDom1)=1,JunDom1+18,JunDom1+25)</f>
        <v>43272</v>
      </c>
      <c r="G7" s="10">
        <f>IF(DAY(JunDom1)=1,JunDom1+19,JunDom1+26)</f>
        <v>43273</v>
      </c>
      <c r="H7" s="10">
        <f>IF(DAY(JunDom1)=1,JunDom1+20,JunDom1+27)</f>
        <v>43274</v>
      </c>
      <c r="I7" s="10">
        <f>IF(DAY(JunDom1)=1,JunDom1+21,JunDom1+28)</f>
        <v>43275</v>
      </c>
      <c r="J7" s="5"/>
      <c r="K7" s="11"/>
      <c r="L7" s="17"/>
      <c r="M7" s="66"/>
      <c r="N7" s="67"/>
    </row>
    <row r="8" spans="1:14" ht="18.75" customHeight="1">
      <c r="A8" s="4"/>
      <c r="B8" s="61"/>
      <c r="C8" s="10">
        <f>IF(DAY(JunDom1)=1,JunDom1+22,JunDom1+29)</f>
        <v>43276</v>
      </c>
      <c r="D8" s="10">
        <f>IF(DAY(JunDom1)=1,JunDom1+23,JunDom1+30)</f>
        <v>43277</v>
      </c>
      <c r="E8" s="10">
        <f>IF(DAY(JunDom1)=1,JunDom1+24,JunDom1+31)</f>
        <v>43278</v>
      </c>
      <c r="F8" s="10">
        <f>IF(DAY(JunDom1)=1,JunDom1+25,JunDom1+32)</f>
        <v>43279</v>
      </c>
      <c r="G8" s="10">
        <f>IF(DAY(JunDom1)=1,JunDom1+26,JunDom1+33)</f>
        <v>43280</v>
      </c>
      <c r="H8" s="10">
        <f>IF(DAY(JunDom1)=1,JunDom1+27,JunDom1+34)</f>
        <v>43281</v>
      </c>
      <c r="I8" s="10">
        <f>IF(DAY(JunDom1)=1,JunDom1+28,JunDom1+35)</f>
        <v>43282</v>
      </c>
      <c r="J8" s="5"/>
      <c r="K8" s="11"/>
      <c r="L8" s="17"/>
      <c r="M8" s="66"/>
      <c r="N8" s="67"/>
    </row>
    <row r="9" spans="1:14" ht="18" customHeight="1">
      <c r="A9" s="4"/>
      <c r="B9" s="61"/>
      <c r="C9" s="10">
        <f>IF(DAY(JunDom1)=1,JunDom1+29,JunDom1+36)</f>
        <v>43283</v>
      </c>
      <c r="D9" s="10">
        <f>IF(DAY(JunDom1)=1,JunDom1+30,JunDom1+37)</f>
        <v>43284</v>
      </c>
      <c r="E9" s="10">
        <f>IF(DAY(JunDom1)=1,JunDom1+31,JunDom1+38)</f>
        <v>43285</v>
      </c>
      <c r="F9" s="10">
        <f>IF(DAY(JunDom1)=1,JunDom1+32,JunDom1+39)</f>
        <v>43286</v>
      </c>
      <c r="G9" s="10">
        <f>IF(DAY(JunDom1)=1,JunDom1+33,JunDom1+40)</f>
        <v>43287</v>
      </c>
      <c r="H9" s="10">
        <f>IF(DAY(JunDom1)=1,JunDom1+34,JunDom1+41)</f>
        <v>43288</v>
      </c>
      <c r="I9" s="10">
        <f>IF(DAY(JunDom1)=1,JunDom1+35,JunDom1+42)</f>
        <v>43289</v>
      </c>
      <c r="J9" s="5"/>
      <c r="K9" s="12"/>
      <c r="L9" s="18"/>
      <c r="M9" s="70"/>
      <c r="N9" s="71"/>
    </row>
    <row r="10" spans="1:14" ht="18" customHeight="1">
      <c r="A10" s="4"/>
      <c r="B10" s="62"/>
      <c r="C10" s="23"/>
      <c r="D10" s="23"/>
      <c r="E10" s="23"/>
      <c r="F10" s="23"/>
      <c r="G10" s="23"/>
      <c r="H10" s="23"/>
      <c r="I10" s="23"/>
      <c r="J10" s="24"/>
      <c r="K10" s="95" t="s">
        <v>12</v>
      </c>
      <c r="L10" s="16"/>
      <c r="M10" s="72"/>
      <c r="N10" s="73"/>
    </row>
    <row r="11" spans="1:14" ht="18" customHeight="1">
      <c r="A11" s="4"/>
      <c r="B11" s="63" t="s">
        <v>10</v>
      </c>
      <c r="C11" s="64"/>
      <c r="D11" s="64"/>
      <c r="E11" s="64"/>
      <c r="F11" s="64"/>
      <c r="G11" s="64"/>
      <c r="H11" s="64"/>
      <c r="I11" s="64"/>
      <c r="J11" s="65"/>
      <c r="K11" s="96"/>
      <c r="L11" s="17"/>
      <c r="M11" s="66"/>
      <c r="N11" s="67"/>
    </row>
    <row r="12" spans="1:14" ht="18" customHeight="1">
      <c r="A12" s="4"/>
      <c r="B12" s="63"/>
      <c r="C12" s="64"/>
      <c r="D12" s="64"/>
      <c r="E12" s="64"/>
      <c r="F12" s="64"/>
      <c r="G12" s="64"/>
      <c r="H12" s="64"/>
      <c r="I12" s="64"/>
      <c r="J12" s="65"/>
      <c r="K12" s="96"/>
      <c r="L12" s="17"/>
      <c r="M12" s="66"/>
      <c r="N12" s="67"/>
    </row>
    <row r="13" spans="1:14" ht="18" customHeight="1">
      <c r="B13" s="3" t="s">
        <v>11</v>
      </c>
      <c r="C13" s="97" t="s">
        <v>12</v>
      </c>
      <c r="D13" s="99"/>
      <c r="E13" s="97" t="s">
        <v>13</v>
      </c>
      <c r="F13" s="99"/>
      <c r="G13" s="97" t="s">
        <v>14</v>
      </c>
      <c r="H13" s="99"/>
      <c r="I13" s="97" t="s">
        <v>15</v>
      </c>
      <c r="J13" s="98"/>
      <c r="K13" s="11"/>
      <c r="L13" s="17"/>
      <c r="M13" s="66"/>
      <c r="N13" s="67"/>
    </row>
    <row r="14" spans="1:14" ht="18" customHeight="1">
      <c r="B14" s="8"/>
      <c r="C14" s="74"/>
      <c r="D14" s="75"/>
      <c r="E14" s="74"/>
      <c r="F14" s="75"/>
      <c r="G14" s="74"/>
      <c r="H14" s="75"/>
      <c r="I14" s="74"/>
      <c r="J14" s="89"/>
      <c r="K14" s="11"/>
      <c r="L14" s="17"/>
      <c r="M14" s="66"/>
      <c r="N14" s="67"/>
    </row>
    <row r="15" spans="1:14" ht="18" customHeight="1">
      <c r="B15" s="6"/>
      <c r="C15" s="76"/>
      <c r="D15" s="77"/>
      <c r="E15" s="76"/>
      <c r="F15" s="77"/>
      <c r="G15" s="76"/>
      <c r="H15" s="77"/>
      <c r="I15" s="87"/>
      <c r="J15" s="88"/>
      <c r="K15" s="13"/>
      <c r="L15" s="19"/>
      <c r="M15" s="70"/>
      <c r="N15" s="71"/>
    </row>
    <row r="16" spans="1:14" ht="18" customHeight="1">
      <c r="B16" s="8"/>
      <c r="C16" s="74"/>
      <c r="D16" s="75"/>
      <c r="E16" s="74"/>
      <c r="F16" s="75"/>
      <c r="G16" s="74"/>
      <c r="H16" s="75"/>
      <c r="I16" s="83"/>
      <c r="J16" s="84"/>
      <c r="K16" s="109" t="s">
        <v>13</v>
      </c>
      <c r="L16" s="16"/>
      <c r="M16" s="72"/>
      <c r="N16" s="73"/>
    </row>
    <row r="17" spans="2:14" ht="18" customHeight="1">
      <c r="B17" s="6"/>
      <c r="C17" s="76"/>
      <c r="D17" s="77"/>
      <c r="E17" s="76"/>
      <c r="F17" s="77"/>
      <c r="G17" s="76"/>
      <c r="H17" s="77"/>
      <c r="I17" s="87"/>
      <c r="J17" s="88"/>
      <c r="K17" s="110"/>
      <c r="L17" s="17"/>
      <c r="M17" s="66"/>
      <c r="N17" s="67"/>
    </row>
    <row r="18" spans="2:14" ht="18" customHeight="1">
      <c r="B18" s="9"/>
      <c r="C18" s="92"/>
      <c r="D18" s="93"/>
      <c r="E18" s="92"/>
      <c r="F18" s="93"/>
      <c r="G18" s="92"/>
      <c r="H18" s="93"/>
      <c r="I18" s="92"/>
      <c r="J18" s="94"/>
      <c r="K18" s="110"/>
      <c r="L18" s="17"/>
      <c r="M18" s="66"/>
      <c r="N18" s="67"/>
    </row>
    <row r="19" spans="2:14" ht="18" customHeight="1">
      <c r="B19" s="6"/>
      <c r="C19" s="76"/>
      <c r="D19" s="77"/>
      <c r="E19" s="76"/>
      <c r="F19" s="77"/>
      <c r="G19" s="76"/>
      <c r="H19" s="77"/>
      <c r="I19" s="87"/>
      <c r="J19" s="88"/>
      <c r="K19" s="11"/>
      <c r="L19" s="17"/>
      <c r="M19" s="66"/>
      <c r="N19" s="67"/>
    </row>
    <row r="20" spans="2:14" ht="18" customHeight="1">
      <c r="B20" s="8"/>
      <c r="C20" s="74"/>
      <c r="D20" s="75"/>
      <c r="E20" s="74"/>
      <c r="F20" s="75"/>
      <c r="G20" s="74"/>
      <c r="H20" s="75"/>
      <c r="I20" s="74"/>
      <c r="J20" s="89"/>
      <c r="K20" s="11"/>
      <c r="L20" s="17"/>
      <c r="M20" s="66"/>
      <c r="N20" s="67"/>
    </row>
    <row r="21" spans="2:14" ht="18" customHeight="1">
      <c r="B21" s="6"/>
      <c r="C21" s="76"/>
      <c r="D21" s="77"/>
      <c r="E21" s="76"/>
      <c r="F21" s="77"/>
      <c r="G21" s="76"/>
      <c r="H21" s="77"/>
      <c r="I21" s="90"/>
      <c r="J21" s="91"/>
      <c r="K21" s="13"/>
      <c r="L21" s="19"/>
      <c r="M21" s="70"/>
      <c r="N21" s="71"/>
    </row>
    <row r="22" spans="2:14" ht="18" customHeight="1">
      <c r="B22" s="8"/>
      <c r="C22" s="74"/>
      <c r="D22" s="75"/>
      <c r="E22" s="74"/>
      <c r="F22" s="75"/>
      <c r="G22" s="74"/>
      <c r="H22" s="75"/>
      <c r="I22" s="74"/>
      <c r="J22" s="89"/>
      <c r="K22" s="109" t="s">
        <v>14</v>
      </c>
      <c r="L22" s="16"/>
      <c r="M22" s="72"/>
      <c r="N22" s="73"/>
    </row>
    <row r="23" spans="2:14" ht="18" customHeight="1">
      <c r="B23" s="6"/>
      <c r="C23" s="76"/>
      <c r="D23" s="77"/>
      <c r="E23" s="76"/>
      <c r="F23" s="77"/>
      <c r="G23" s="76"/>
      <c r="H23" s="77"/>
      <c r="I23" s="87"/>
      <c r="J23" s="88"/>
      <c r="K23" s="110"/>
      <c r="L23" s="17"/>
      <c r="M23" s="66"/>
      <c r="N23" s="67"/>
    </row>
    <row r="24" spans="2:14" ht="18" customHeight="1">
      <c r="B24" s="8"/>
      <c r="C24" s="74"/>
      <c r="D24" s="75"/>
      <c r="E24" s="74"/>
      <c r="F24" s="75"/>
      <c r="G24" s="74"/>
      <c r="H24" s="75"/>
      <c r="I24" s="74"/>
      <c r="J24" s="89"/>
      <c r="K24" s="110"/>
      <c r="L24" s="17"/>
      <c r="M24" s="66"/>
      <c r="N24" s="67"/>
    </row>
    <row r="25" spans="2:14" ht="18" customHeight="1">
      <c r="B25" s="6"/>
      <c r="C25" s="76"/>
      <c r="D25" s="77"/>
      <c r="E25" s="76"/>
      <c r="F25" s="77"/>
      <c r="G25" s="76"/>
      <c r="H25" s="77"/>
      <c r="I25" s="87"/>
      <c r="J25" s="88"/>
      <c r="K25" s="110"/>
      <c r="L25" s="17"/>
      <c r="M25" s="66"/>
      <c r="N25" s="67"/>
    </row>
    <row r="26" spans="2:14" ht="18" customHeight="1">
      <c r="B26" s="8"/>
      <c r="C26" s="74"/>
      <c r="D26" s="75"/>
      <c r="E26" s="74"/>
      <c r="F26" s="75"/>
      <c r="G26" s="74"/>
      <c r="H26" s="75"/>
      <c r="I26" s="74"/>
      <c r="J26" s="89"/>
      <c r="K26" s="11"/>
      <c r="L26" s="17"/>
      <c r="M26" s="66"/>
      <c r="N26" s="67"/>
    </row>
    <row r="27" spans="2:14" ht="18" customHeight="1">
      <c r="B27" s="6"/>
      <c r="C27" s="76"/>
      <c r="D27" s="77"/>
      <c r="E27" s="76"/>
      <c r="F27" s="77"/>
      <c r="G27" s="76"/>
      <c r="H27" s="77"/>
      <c r="I27" s="87"/>
      <c r="J27" s="88"/>
      <c r="K27" s="13"/>
      <c r="L27" s="19"/>
      <c r="M27" s="70"/>
      <c r="N27" s="71"/>
    </row>
    <row r="28" spans="2:14" ht="18" customHeight="1">
      <c r="B28" s="8"/>
      <c r="C28" s="74"/>
      <c r="D28" s="75"/>
      <c r="E28" s="74"/>
      <c r="F28" s="75"/>
      <c r="G28" s="74"/>
      <c r="H28" s="75"/>
      <c r="I28" s="74"/>
      <c r="J28" s="89"/>
      <c r="K28" s="95" t="s">
        <v>15</v>
      </c>
      <c r="L28" s="16"/>
      <c r="M28" s="72"/>
      <c r="N28" s="73"/>
    </row>
    <row r="29" spans="2:14" ht="18" customHeight="1">
      <c r="B29" s="6"/>
      <c r="C29" s="76"/>
      <c r="D29" s="77"/>
      <c r="E29" s="76"/>
      <c r="F29" s="77"/>
      <c r="G29" s="76"/>
      <c r="H29" s="77"/>
      <c r="I29" s="76"/>
      <c r="J29" s="82"/>
      <c r="K29" s="96"/>
      <c r="L29" s="17"/>
      <c r="M29" s="66"/>
      <c r="N29" s="67"/>
    </row>
    <row r="30" spans="2:14" ht="18" customHeight="1">
      <c r="B30" s="8"/>
      <c r="C30" s="74"/>
      <c r="D30" s="75"/>
      <c r="E30" s="74"/>
      <c r="F30" s="75"/>
      <c r="G30" s="74"/>
      <c r="H30" s="75"/>
      <c r="I30" s="80"/>
      <c r="J30" s="81"/>
      <c r="K30" s="96"/>
      <c r="L30" s="17"/>
      <c r="M30" s="66"/>
      <c r="N30" s="67"/>
    </row>
    <row r="31" spans="2:14" ht="18" customHeight="1">
      <c r="B31" s="6"/>
      <c r="C31" s="76"/>
      <c r="D31" s="77"/>
      <c r="E31" s="76"/>
      <c r="F31" s="77"/>
      <c r="G31" s="76"/>
      <c r="H31" s="77"/>
      <c r="I31" s="76"/>
      <c r="J31" s="82"/>
      <c r="K31" s="14"/>
      <c r="L31" s="17"/>
      <c r="M31" s="66"/>
      <c r="N31" s="67"/>
    </row>
    <row r="32" spans="2:14" ht="18" customHeight="1">
      <c r="B32" s="8"/>
      <c r="C32" s="74"/>
      <c r="D32" s="75"/>
      <c r="E32" s="74"/>
      <c r="F32" s="75"/>
      <c r="G32" s="74"/>
      <c r="H32" s="75"/>
      <c r="I32" s="83"/>
      <c r="J32" s="84"/>
      <c r="K32" s="14"/>
      <c r="L32" s="17"/>
      <c r="M32" s="66"/>
      <c r="N32" s="67"/>
    </row>
    <row r="33" spans="2:14" ht="18" customHeight="1">
      <c r="B33" s="7"/>
      <c r="C33" s="78"/>
      <c r="D33" s="79"/>
      <c r="E33" s="78"/>
      <c r="F33" s="79"/>
      <c r="G33" s="78"/>
      <c r="H33" s="79"/>
      <c r="I33" s="85"/>
      <c r="J33" s="86"/>
      <c r="K33" s="15"/>
      <c r="L33" s="20"/>
      <c r="M33" s="68"/>
      <c r="N33" s="69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5" priority="3" stopIfTrue="1">
      <formula>DAY(C4)&gt;8</formula>
    </cfRule>
  </conditionalFormatting>
  <conditionalFormatting sqref="C8:I10">
    <cfRule type="expression" dxfId="14" priority="2" stopIfTrue="1">
      <formula>AND(DAY(C8)&gt;=1,DAY(C8)&lt;=15)</formula>
    </cfRule>
  </conditionalFormatting>
  <conditionalFormatting sqref="C4:I9">
    <cfRule type="expression" dxfId="13" priority="4">
      <formula>VLOOKUP(DAY(C4),DíasDeTareas,1,FALSE)=DAY(C4)</formula>
    </cfRule>
  </conditionalFormatting>
  <conditionalFormatting sqref="B14:J33">
    <cfRule type="expression" dxfId="12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AO33"/>
  <sheetViews>
    <sheetView showGridLines="0" topLeftCell="A13" zoomScaleNormal="100" zoomScalePageLayoutView="84" workbookViewId="0">
      <selection activeCell="B29" sqref="B29:J32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0" t="s">
        <v>18</v>
      </c>
      <c r="C2" s="21"/>
      <c r="D2" s="21"/>
      <c r="E2" s="21"/>
      <c r="F2" s="21"/>
      <c r="G2" s="21"/>
      <c r="H2" s="21"/>
      <c r="I2" s="21"/>
      <c r="J2" s="22"/>
      <c r="K2" s="100" t="s">
        <v>3</v>
      </c>
      <c r="L2" s="101">
        <v>2013</v>
      </c>
      <c r="M2" s="101"/>
      <c r="N2" s="25"/>
    </row>
    <row r="3" spans="1:14" ht="21" customHeight="1">
      <c r="A3" s="4"/>
      <c r="B3" s="61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2"/>
      <c r="L3" s="103"/>
      <c r="M3" s="103"/>
      <c r="N3" s="26"/>
    </row>
    <row r="4" spans="1:14" ht="18" customHeight="1">
      <c r="A4" s="4"/>
      <c r="B4" s="61"/>
      <c r="C4" s="10">
        <f>IF(DAY(JulDom1)=1,JulDom1-6,JulDom1+1)</f>
        <v>43276</v>
      </c>
      <c r="D4" s="10">
        <f>IF(DAY(JulDom1)=1,JulDom1-5,JulDom1+2)</f>
        <v>43277</v>
      </c>
      <c r="E4" s="10">
        <f>IF(DAY(JulDom1)=1,JulDom1-4,JulDom1+3)</f>
        <v>43278</v>
      </c>
      <c r="F4" s="10">
        <f>IF(DAY(JulDom1)=1,JulDom1-3,JulDom1+4)</f>
        <v>43279</v>
      </c>
      <c r="G4" s="10">
        <f>IF(DAY(JulDom1)=1,JulDom1-2,JulDom1+5)</f>
        <v>43280</v>
      </c>
      <c r="H4" s="10">
        <f>IF(DAY(JulDom1)=1,JulDom1-1,JulDom1+6)</f>
        <v>43281</v>
      </c>
      <c r="I4" s="10">
        <f>IF(DAY(JulDom1)=1,JulDom1,JulDom1+7)</f>
        <v>43282</v>
      </c>
      <c r="J4" s="5"/>
      <c r="K4" s="104" t="s">
        <v>11</v>
      </c>
      <c r="L4" s="16"/>
      <c r="M4" s="105"/>
      <c r="N4" s="106"/>
    </row>
    <row r="5" spans="1:14" ht="18" customHeight="1">
      <c r="A5" s="4"/>
      <c r="B5" s="61"/>
      <c r="C5" s="10">
        <f>IF(DAY(JulDom1)=1,JulDom1+1,JulDom1+8)</f>
        <v>43283</v>
      </c>
      <c r="D5" s="10">
        <f>IF(DAY(JulDom1)=1,JulDom1+2,JulDom1+9)</f>
        <v>43284</v>
      </c>
      <c r="E5" s="10">
        <f>IF(DAY(JulDom1)=1,JulDom1+3,JulDom1+10)</f>
        <v>43285</v>
      </c>
      <c r="F5" s="10">
        <f>IF(DAY(JulDom1)=1,JulDom1+4,JulDom1+11)</f>
        <v>43286</v>
      </c>
      <c r="G5" s="10">
        <f>IF(DAY(JulDom1)=1,JulDom1+5,JulDom1+12)</f>
        <v>43287</v>
      </c>
      <c r="H5" s="10">
        <f>IF(DAY(JulDom1)=1,JulDom1+6,JulDom1+13)</f>
        <v>43288</v>
      </c>
      <c r="I5" s="10">
        <f>IF(DAY(JulDom1)=1,JulDom1+7,JulDom1+14)</f>
        <v>43289</v>
      </c>
      <c r="J5" s="5"/>
      <c r="K5" s="96"/>
      <c r="L5" s="17"/>
      <c r="M5" s="66"/>
      <c r="N5" s="67"/>
    </row>
    <row r="6" spans="1:14" ht="18" customHeight="1">
      <c r="A6" s="4"/>
      <c r="B6" s="61"/>
      <c r="C6" s="10">
        <f>IF(DAY(JulDom1)=1,JulDom1+8,JulDom1+15)</f>
        <v>43290</v>
      </c>
      <c r="D6" s="10">
        <f>IF(DAY(JulDom1)=1,JulDom1+9,JulDom1+16)</f>
        <v>43291</v>
      </c>
      <c r="E6" s="10">
        <f>IF(DAY(JulDom1)=1,JulDom1+10,JulDom1+17)</f>
        <v>43292</v>
      </c>
      <c r="F6" s="10">
        <f>IF(DAY(JulDom1)=1,JulDom1+11,JulDom1+18)</f>
        <v>43293</v>
      </c>
      <c r="G6" s="10">
        <f>IF(DAY(JulDom1)=1,JulDom1+12,JulDom1+19)</f>
        <v>43294</v>
      </c>
      <c r="H6" s="10">
        <f>IF(DAY(JulDom1)=1,JulDom1+13,JulDom1+20)</f>
        <v>43295</v>
      </c>
      <c r="I6" s="10">
        <f>IF(DAY(JulDom1)=1,JulDom1+14,JulDom1+21)</f>
        <v>43296</v>
      </c>
      <c r="J6" s="5"/>
      <c r="K6" s="96"/>
      <c r="L6" s="17"/>
      <c r="M6" s="66"/>
      <c r="N6" s="67"/>
    </row>
    <row r="7" spans="1:14" ht="18" customHeight="1">
      <c r="A7" s="4"/>
      <c r="B7" s="61"/>
      <c r="C7" s="10">
        <f>IF(DAY(JulDom1)=1,JulDom1+15,JulDom1+22)</f>
        <v>43297</v>
      </c>
      <c r="D7" s="10">
        <f>IF(DAY(JulDom1)=1,JulDom1+16,JulDom1+23)</f>
        <v>43298</v>
      </c>
      <c r="E7" s="10">
        <f>IF(DAY(JulDom1)=1,JulDom1+17,JulDom1+24)</f>
        <v>43299</v>
      </c>
      <c r="F7" s="10">
        <f>IF(DAY(JulDom1)=1,JulDom1+18,JulDom1+25)</f>
        <v>43300</v>
      </c>
      <c r="G7" s="10">
        <f>IF(DAY(JulDom1)=1,JulDom1+19,JulDom1+26)</f>
        <v>43301</v>
      </c>
      <c r="H7" s="10">
        <f>IF(DAY(JulDom1)=1,JulDom1+20,JulDom1+27)</f>
        <v>43302</v>
      </c>
      <c r="I7" s="10">
        <f>IF(DAY(JulDom1)=1,JulDom1+21,JulDom1+28)</f>
        <v>43303</v>
      </c>
      <c r="J7" s="5"/>
      <c r="K7" s="11"/>
      <c r="L7" s="17"/>
      <c r="M7" s="66"/>
      <c r="N7" s="67"/>
    </row>
    <row r="8" spans="1:14" ht="18.75" customHeight="1">
      <c r="A8" s="4"/>
      <c r="B8" s="61"/>
      <c r="C8" s="10">
        <f>IF(DAY(JulDom1)=1,JulDom1+22,JulDom1+29)</f>
        <v>43304</v>
      </c>
      <c r="D8" s="10">
        <f>IF(DAY(JulDom1)=1,JulDom1+23,JulDom1+30)</f>
        <v>43305</v>
      </c>
      <c r="E8" s="10">
        <f>IF(DAY(JulDom1)=1,JulDom1+24,JulDom1+31)</f>
        <v>43306</v>
      </c>
      <c r="F8" s="10">
        <f>IF(DAY(JulDom1)=1,JulDom1+25,JulDom1+32)</f>
        <v>43307</v>
      </c>
      <c r="G8" s="10">
        <f>IF(DAY(JulDom1)=1,JulDom1+26,JulDom1+33)</f>
        <v>43308</v>
      </c>
      <c r="H8" s="10">
        <f>IF(DAY(JulDom1)=1,JulDom1+27,JulDom1+34)</f>
        <v>43309</v>
      </c>
      <c r="I8" s="10">
        <f>IF(DAY(JulDom1)=1,JulDom1+28,JulDom1+35)</f>
        <v>43310</v>
      </c>
      <c r="J8" s="5"/>
      <c r="K8" s="11"/>
      <c r="L8" s="17"/>
      <c r="M8" s="66"/>
      <c r="N8" s="67"/>
    </row>
    <row r="9" spans="1:14" ht="18" customHeight="1">
      <c r="A9" s="4"/>
      <c r="B9" s="61"/>
      <c r="C9" s="10">
        <f>IF(DAY(JulDom1)=1,JulDom1+29,JulDom1+36)</f>
        <v>43311</v>
      </c>
      <c r="D9" s="10">
        <f>IF(DAY(JulDom1)=1,JulDom1+30,JulDom1+37)</f>
        <v>43312</v>
      </c>
      <c r="E9" s="10">
        <f>IF(DAY(JulDom1)=1,JulDom1+31,JulDom1+38)</f>
        <v>43313</v>
      </c>
      <c r="F9" s="10">
        <f>IF(DAY(JulDom1)=1,JulDom1+32,JulDom1+39)</f>
        <v>43314</v>
      </c>
      <c r="G9" s="10">
        <f>IF(DAY(JulDom1)=1,JulDom1+33,JulDom1+40)</f>
        <v>43315</v>
      </c>
      <c r="H9" s="10">
        <f>IF(DAY(JulDom1)=1,JulDom1+34,JulDom1+41)</f>
        <v>43316</v>
      </c>
      <c r="I9" s="10">
        <f>IF(DAY(JulDom1)=1,JulDom1+35,JulDom1+42)</f>
        <v>43317</v>
      </c>
      <c r="J9" s="5"/>
      <c r="K9" s="12"/>
      <c r="L9" s="18"/>
      <c r="M9" s="70"/>
      <c r="N9" s="71"/>
    </row>
    <row r="10" spans="1:14" ht="18" customHeight="1">
      <c r="A10" s="4"/>
      <c r="B10" s="62"/>
      <c r="C10" s="23"/>
      <c r="D10" s="23"/>
      <c r="E10" s="23"/>
      <c r="F10" s="23"/>
      <c r="G10" s="23"/>
      <c r="H10" s="23"/>
      <c r="I10" s="23"/>
      <c r="J10" s="24"/>
      <c r="K10" s="95" t="s">
        <v>12</v>
      </c>
      <c r="L10" s="16"/>
      <c r="M10" s="72"/>
      <c r="N10" s="73"/>
    </row>
    <row r="11" spans="1:14" ht="18" customHeight="1">
      <c r="A11" s="4"/>
      <c r="B11" s="63" t="s">
        <v>10</v>
      </c>
      <c r="C11" s="64"/>
      <c r="D11" s="64"/>
      <c r="E11" s="64"/>
      <c r="F11" s="64"/>
      <c r="G11" s="64"/>
      <c r="H11" s="64"/>
      <c r="I11" s="64"/>
      <c r="J11" s="65"/>
      <c r="K11" s="96"/>
      <c r="L11" s="17"/>
      <c r="M11" s="66"/>
      <c r="N11" s="67"/>
    </row>
    <row r="12" spans="1:14" ht="18" customHeight="1">
      <c r="A12" s="4"/>
      <c r="B12" s="63"/>
      <c r="C12" s="64"/>
      <c r="D12" s="64"/>
      <c r="E12" s="64"/>
      <c r="F12" s="64"/>
      <c r="G12" s="64"/>
      <c r="H12" s="64"/>
      <c r="I12" s="64"/>
      <c r="J12" s="65"/>
      <c r="K12" s="96"/>
      <c r="L12" s="17"/>
      <c r="M12" s="66"/>
      <c r="N12" s="67"/>
    </row>
    <row r="13" spans="1:14" ht="18" customHeight="1">
      <c r="B13" s="3" t="s">
        <v>11</v>
      </c>
      <c r="C13" s="97" t="s">
        <v>12</v>
      </c>
      <c r="D13" s="99"/>
      <c r="E13" s="97" t="s">
        <v>13</v>
      </c>
      <c r="F13" s="99"/>
      <c r="G13" s="97" t="s">
        <v>14</v>
      </c>
      <c r="H13" s="99"/>
      <c r="I13" s="97" t="s">
        <v>15</v>
      </c>
      <c r="J13" s="98"/>
      <c r="K13" s="11"/>
      <c r="L13" s="17"/>
      <c r="M13" s="66"/>
      <c r="N13" s="67"/>
    </row>
    <row r="14" spans="1:14" ht="18" customHeight="1">
      <c r="B14" s="8"/>
      <c r="C14" s="74"/>
      <c r="D14" s="75"/>
      <c r="E14" s="74"/>
      <c r="F14" s="75"/>
      <c r="G14" s="74"/>
      <c r="H14" s="75"/>
      <c r="I14" s="74"/>
      <c r="J14" s="89"/>
      <c r="K14" s="11"/>
      <c r="L14" s="17"/>
      <c r="M14" s="66"/>
      <c r="N14" s="67"/>
    </row>
    <row r="15" spans="1:14" ht="18" customHeight="1">
      <c r="B15" s="6"/>
      <c r="C15" s="76"/>
      <c r="D15" s="77"/>
      <c r="E15" s="76"/>
      <c r="F15" s="77"/>
      <c r="G15" s="76"/>
      <c r="H15" s="77"/>
      <c r="I15" s="87"/>
      <c r="J15" s="88"/>
      <c r="K15" s="13"/>
      <c r="L15" s="19"/>
      <c r="M15" s="70"/>
      <c r="N15" s="71"/>
    </row>
    <row r="16" spans="1:14" ht="18" customHeight="1">
      <c r="B16" s="8"/>
      <c r="C16" s="74"/>
      <c r="D16" s="75"/>
      <c r="E16" s="74"/>
      <c r="F16" s="75"/>
      <c r="G16" s="74"/>
      <c r="H16" s="75"/>
      <c r="I16" s="83"/>
      <c r="J16" s="84"/>
      <c r="K16" s="109" t="s">
        <v>13</v>
      </c>
      <c r="L16" s="16"/>
      <c r="M16" s="72"/>
      <c r="N16" s="73"/>
    </row>
    <row r="17" spans="2:14" ht="18" customHeight="1">
      <c r="B17" s="6"/>
      <c r="C17" s="76"/>
      <c r="D17" s="77"/>
      <c r="E17" s="76"/>
      <c r="F17" s="77"/>
      <c r="G17" s="76"/>
      <c r="H17" s="77"/>
      <c r="I17" s="87"/>
      <c r="J17" s="88"/>
      <c r="K17" s="110"/>
      <c r="L17" s="17"/>
      <c r="M17" s="66"/>
      <c r="N17" s="67"/>
    </row>
    <row r="18" spans="2:14" ht="18" customHeight="1">
      <c r="B18" s="9"/>
      <c r="C18" s="92"/>
      <c r="D18" s="93"/>
      <c r="E18" s="92"/>
      <c r="F18" s="93"/>
      <c r="G18" s="92"/>
      <c r="H18" s="93"/>
      <c r="I18" s="92"/>
      <c r="J18" s="94"/>
      <c r="K18" s="110"/>
      <c r="L18" s="17"/>
      <c r="M18" s="66"/>
      <c r="N18" s="67"/>
    </row>
    <row r="19" spans="2:14" ht="18" customHeight="1">
      <c r="B19" s="6"/>
      <c r="C19" s="76"/>
      <c r="D19" s="77"/>
      <c r="E19" s="76"/>
      <c r="F19" s="77"/>
      <c r="G19" s="76"/>
      <c r="H19" s="77"/>
      <c r="I19" s="87"/>
      <c r="J19" s="88"/>
      <c r="K19" s="11"/>
      <c r="L19" s="17"/>
      <c r="M19" s="66"/>
      <c r="N19" s="67"/>
    </row>
    <row r="20" spans="2:14" ht="18" customHeight="1">
      <c r="B20" s="8"/>
      <c r="C20" s="74"/>
      <c r="D20" s="75"/>
      <c r="E20" s="74"/>
      <c r="F20" s="75"/>
      <c r="G20" s="74"/>
      <c r="H20" s="75"/>
      <c r="I20" s="74"/>
      <c r="J20" s="89"/>
      <c r="K20" s="11"/>
      <c r="L20" s="17"/>
      <c r="M20" s="66"/>
      <c r="N20" s="67"/>
    </row>
    <row r="21" spans="2:14" ht="18" customHeight="1">
      <c r="B21" s="6"/>
      <c r="C21" s="76"/>
      <c r="D21" s="77"/>
      <c r="E21" s="76"/>
      <c r="F21" s="77"/>
      <c r="G21" s="76"/>
      <c r="H21" s="77"/>
      <c r="I21" s="90"/>
      <c r="J21" s="91"/>
      <c r="K21" s="13"/>
      <c r="L21" s="19"/>
      <c r="M21" s="70"/>
      <c r="N21" s="71"/>
    </row>
    <row r="22" spans="2:14" ht="18" customHeight="1">
      <c r="B22" s="8"/>
      <c r="C22" s="74"/>
      <c r="D22" s="75"/>
      <c r="E22" s="74"/>
      <c r="F22" s="75"/>
      <c r="G22" s="74"/>
      <c r="H22" s="75"/>
      <c r="I22" s="74"/>
      <c r="J22" s="89"/>
      <c r="K22" s="109" t="s">
        <v>14</v>
      </c>
      <c r="L22" s="16"/>
      <c r="M22" s="72"/>
      <c r="N22" s="73"/>
    </row>
    <row r="23" spans="2:14" ht="18" customHeight="1">
      <c r="B23" s="6"/>
      <c r="C23" s="76"/>
      <c r="D23" s="77"/>
      <c r="E23" s="76"/>
      <c r="F23" s="77"/>
      <c r="G23" s="76"/>
      <c r="H23" s="77"/>
      <c r="I23" s="87"/>
      <c r="J23" s="88"/>
      <c r="K23" s="110"/>
      <c r="L23" s="17"/>
      <c r="M23" s="66"/>
      <c r="N23" s="67"/>
    </row>
    <row r="24" spans="2:14" ht="18" customHeight="1">
      <c r="B24" s="8"/>
      <c r="C24" s="74"/>
      <c r="D24" s="75"/>
      <c r="E24" s="74"/>
      <c r="F24" s="75"/>
      <c r="G24" s="74"/>
      <c r="H24" s="75"/>
      <c r="I24" s="74"/>
      <c r="J24" s="89"/>
      <c r="K24" s="110"/>
      <c r="L24" s="17"/>
      <c r="M24" s="66"/>
      <c r="N24" s="67"/>
    </row>
    <row r="25" spans="2:14" ht="18" customHeight="1">
      <c r="B25" s="6"/>
      <c r="C25" s="76"/>
      <c r="D25" s="77"/>
      <c r="E25" s="76"/>
      <c r="F25" s="77"/>
      <c r="G25" s="76"/>
      <c r="H25" s="77"/>
      <c r="I25" s="87"/>
      <c r="J25" s="88"/>
      <c r="K25" s="110"/>
      <c r="L25" s="17"/>
      <c r="M25" s="66"/>
      <c r="N25" s="67"/>
    </row>
    <row r="26" spans="2:14" ht="18" customHeight="1">
      <c r="B26" s="8"/>
      <c r="C26" s="74"/>
      <c r="D26" s="75"/>
      <c r="E26" s="74"/>
      <c r="F26" s="75"/>
      <c r="G26" s="74"/>
      <c r="H26" s="75"/>
      <c r="I26" s="74"/>
      <c r="J26" s="89"/>
      <c r="K26" s="11"/>
      <c r="L26" s="17"/>
      <c r="M26" s="66"/>
      <c r="N26" s="67"/>
    </row>
    <row r="27" spans="2:14" ht="18" customHeight="1">
      <c r="B27" s="6"/>
      <c r="C27" s="76"/>
      <c r="D27" s="77"/>
      <c r="E27" s="76"/>
      <c r="F27" s="77"/>
      <c r="G27" s="76"/>
      <c r="H27" s="77"/>
      <c r="I27" s="87"/>
      <c r="J27" s="88"/>
      <c r="K27" s="13"/>
      <c r="L27" s="19"/>
      <c r="M27" s="70"/>
      <c r="N27" s="71"/>
    </row>
    <row r="28" spans="2:14" ht="18" customHeight="1">
      <c r="B28" s="8"/>
      <c r="C28" s="74"/>
      <c r="D28" s="75"/>
      <c r="E28" s="74"/>
      <c r="F28" s="75"/>
      <c r="G28" s="74"/>
      <c r="H28" s="75"/>
      <c r="I28" s="74"/>
      <c r="J28" s="89"/>
      <c r="K28" s="95" t="s">
        <v>15</v>
      </c>
      <c r="L28" s="16"/>
      <c r="M28" s="72"/>
      <c r="N28" s="73"/>
    </row>
    <row r="29" spans="2:14" ht="18" customHeight="1">
      <c r="B29" s="6"/>
      <c r="C29" s="76"/>
      <c r="D29" s="77"/>
      <c r="E29" s="76"/>
      <c r="F29" s="77"/>
      <c r="G29" s="76"/>
      <c r="H29" s="77"/>
      <c r="I29" s="76"/>
      <c r="J29" s="82"/>
      <c r="K29" s="96"/>
      <c r="L29" s="17"/>
      <c r="M29" s="66"/>
      <c r="N29" s="67"/>
    </row>
    <row r="30" spans="2:14" ht="18" customHeight="1">
      <c r="B30" s="8"/>
      <c r="C30" s="74"/>
      <c r="D30" s="75"/>
      <c r="E30" s="74"/>
      <c r="F30" s="75"/>
      <c r="G30" s="74"/>
      <c r="H30" s="75"/>
      <c r="I30" s="80"/>
      <c r="J30" s="81"/>
      <c r="K30" s="96"/>
      <c r="L30" s="17"/>
      <c r="M30" s="66"/>
      <c r="N30" s="67"/>
    </row>
    <row r="31" spans="2:14" ht="18" customHeight="1">
      <c r="B31" s="6"/>
      <c r="C31" s="76"/>
      <c r="D31" s="77"/>
      <c r="E31" s="76"/>
      <c r="F31" s="77"/>
      <c r="G31" s="76"/>
      <c r="H31" s="77"/>
      <c r="I31" s="76"/>
      <c r="J31" s="82"/>
      <c r="K31" s="14"/>
      <c r="L31" s="17"/>
      <c r="M31" s="66"/>
      <c r="N31" s="67"/>
    </row>
    <row r="32" spans="2:14" ht="18" customHeight="1">
      <c r="B32" s="8"/>
      <c r="C32" s="74"/>
      <c r="D32" s="75"/>
      <c r="E32" s="74"/>
      <c r="F32" s="75"/>
      <c r="G32" s="74"/>
      <c r="H32" s="75"/>
      <c r="I32" s="83"/>
      <c r="J32" s="84"/>
      <c r="K32" s="14"/>
      <c r="L32" s="17"/>
      <c r="M32" s="66"/>
      <c r="N32" s="67"/>
    </row>
    <row r="33" spans="2:14" ht="18" customHeight="1">
      <c r="B33" s="7"/>
      <c r="C33" s="78"/>
      <c r="D33" s="79"/>
      <c r="E33" s="78"/>
      <c r="F33" s="79"/>
      <c r="G33" s="78"/>
      <c r="H33" s="79"/>
      <c r="I33" s="85"/>
      <c r="J33" s="86"/>
      <c r="K33" s="15"/>
      <c r="L33" s="20"/>
      <c r="M33" s="68"/>
      <c r="N33" s="69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1" priority="3" stopIfTrue="1">
      <formula>DAY(C4)&gt;8</formula>
    </cfRule>
  </conditionalFormatting>
  <conditionalFormatting sqref="C8:I10">
    <cfRule type="expression" dxfId="10" priority="2" stopIfTrue="1">
      <formula>AND(DAY(C8)&gt;=1,DAY(C8)&lt;=15)</formula>
    </cfRule>
  </conditionalFormatting>
  <conditionalFormatting sqref="C4:I9">
    <cfRule type="expression" dxfId="9" priority="4">
      <formula>VLOOKUP(DAY(C4),DíasDeTareas,1,FALSE)=DAY(C4)</formula>
    </cfRule>
  </conditionalFormatting>
  <conditionalFormatting sqref="B14:J33">
    <cfRule type="expression" dxfId="8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  <pageSetUpPr fitToPage="1"/>
  </sheetPr>
  <dimension ref="A1:AO33"/>
  <sheetViews>
    <sheetView showGridLines="0" topLeftCell="A9" zoomScaleNormal="100" zoomScalePageLayoutView="84" workbookViewId="0">
      <selection activeCell="B14" sqref="B14:J33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>
      <c r="A1" s="2"/>
      <c r="B1" s="2"/>
      <c r="C1" s="2"/>
      <c r="D1" s="2"/>
      <c r="E1" s="2"/>
      <c r="F1" s="2"/>
      <c r="G1" s="2"/>
    </row>
    <row r="2" spans="1:14" ht="18" customHeight="1">
      <c r="A2" s="4"/>
      <c r="B2" s="60" t="s">
        <v>17</v>
      </c>
      <c r="C2" s="21"/>
      <c r="D2" s="21"/>
      <c r="E2" s="21"/>
      <c r="F2" s="21"/>
      <c r="G2" s="21"/>
      <c r="H2" s="21"/>
      <c r="I2" s="21"/>
      <c r="J2" s="22"/>
      <c r="K2" s="100" t="s">
        <v>3</v>
      </c>
      <c r="L2" s="101">
        <v>2013</v>
      </c>
      <c r="M2" s="101"/>
      <c r="N2" s="25"/>
    </row>
    <row r="3" spans="1:14" ht="21" customHeight="1">
      <c r="A3" s="4"/>
      <c r="B3" s="61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2"/>
      <c r="L3" s="103"/>
      <c r="M3" s="103"/>
      <c r="N3" s="26"/>
    </row>
    <row r="4" spans="1:14" ht="18" customHeight="1">
      <c r="A4" s="4"/>
      <c r="B4" s="61"/>
      <c r="C4" s="10">
        <f>IF(DAY(AgoDom1)=1,AgoDom1-6,AgoDom1+1)</f>
        <v>43311</v>
      </c>
      <c r="D4" s="10">
        <f>IF(DAY(AgoDom1)=1,AgoDom1-5,AgoDom1+2)</f>
        <v>43312</v>
      </c>
      <c r="E4" s="10">
        <f>IF(DAY(AgoDom1)=1,AgoDom1-4,AgoDom1+3)</f>
        <v>43313</v>
      </c>
      <c r="F4" s="10">
        <f>IF(DAY(AgoDom1)=1,AgoDom1-3,AgoDom1+4)</f>
        <v>43314</v>
      </c>
      <c r="G4" s="10">
        <f>IF(DAY(AgoDom1)=1,AgoDom1-2,AgoDom1+5)</f>
        <v>43315</v>
      </c>
      <c r="H4" s="10">
        <f>IF(DAY(AgoDom1)=1,AgoDom1-1,AgoDom1+6)</f>
        <v>43316</v>
      </c>
      <c r="I4" s="10">
        <f>IF(DAY(AgoDom1)=1,AgoDom1,AgoDom1+7)</f>
        <v>43317</v>
      </c>
      <c r="J4" s="5"/>
      <c r="K4" s="104" t="s">
        <v>11</v>
      </c>
      <c r="L4" s="16"/>
      <c r="M4" s="105"/>
      <c r="N4" s="106"/>
    </row>
    <row r="5" spans="1:14" ht="18" customHeight="1">
      <c r="A5" s="4"/>
      <c r="B5" s="61"/>
      <c r="C5" s="10">
        <f>IF(DAY(AgoDom1)=1,AgoDom1+1,AgoDom1+8)</f>
        <v>43318</v>
      </c>
      <c r="D5" s="10">
        <f>IF(DAY(AgoDom1)=1,AgoDom1+2,AgoDom1+9)</f>
        <v>43319</v>
      </c>
      <c r="E5" s="10">
        <f>IF(DAY(AgoDom1)=1,AgoDom1+3,AgoDom1+10)</f>
        <v>43320</v>
      </c>
      <c r="F5" s="10">
        <f>IF(DAY(AgoDom1)=1,AgoDom1+4,AgoDom1+11)</f>
        <v>43321</v>
      </c>
      <c r="G5" s="10">
        <f>IF(DAY(AgoDom1)=1,AgoDom1+5,AgoDom1+12)</f>
        <v>43322</v>
      </c>
      <c r="H5" s="10">
        <f>IF(DAY(AgoDom1)=1,AgoDom1+6,AgoDom1+13)</f>
        <v>43323</v>
      </c>
      <c r="I5" s="10">
        <f>IF(DAY(AgoDom1)=1,AgoDom1+7,AgoDom1+14)</f>
        <v>43324</v>
      </c>
      <c r="J5" s="5"/>
      <c r="K5" s="96"/>
      <c r="L5" s="17"/>
      <c r="M5" s="66"/>
      <c r="N5" s="67"/>
    </row>
    <row r="6" spans="1:14" ht="18" customHeight="1">
      <c r="A6" s="4"/>
      <c r="B6" s="61"/>
      <c r="C6" s="10">
        <f>IF(DAY(AgoDom1)=1,AgoDom1+8,AgoDom1+15)</f>
        <v>43325</v>
      </c>
      <c r="D6" s="10">
        <f>IF(DAY(AgoDom1)=1,AgoDom1+9,AgoDom1+16)</f>
        <v>43326</v>
      </c>
      <c r="E6" s="10">
        <f>IF(DAY(AgoDom1)=1,AgoDom1+10,AgoDom1+17)</f>
        <v>43327</v>
      </c>
      <c r="F6" s="10">
        <f>IF(DAY(AgoDom1)=1,AgoDom1+11,AgoDom1+18)</f>
        <v>43328</v>
      </c>
      <c r="G6" s="10">
        <f>IF(DAY(AgoDom1)=1,AgoDom1+12,AgoDom1+19)</f>
        <v>43329</v>
      </c>
      <c r="H6" s="10">
        <f>IF(DAY(AgoDom1)=1,AgoDom1+13,AgoDom1+20)</f>
        <v>43330</v>
      </c>
      <c r="I6" s="10">
        <f>IF(DAY(AgoDom1)=1,AgoDom1+14,AgoDom1+21)</f>
        <v>43331</v>
      </c>
      <c r="J6" s="5"/>
      <c r="K6" s="96"/>
      <c r="L6" s="17"/>
      <c r="M6" s="66"/>
      <c r="N6" s="67"/>
    </row>
    <row r="7" spans="1:14" ht="18" customHeight="1">
      <c r="A7" s="4"/>
      <c r="B7" s="61"/>
      <c r="C7" s="10">
        <f>IF(DAY(AgoDom1)=1,AgoDom1+15,AgoDom1+22)</f>
        <v>43332</v>
      </c>
      <c r="D7" s="10">
        <f>IF(DAY(AgoDom1)=1,AgoDom1+16,AgoDom1+23)</f>
        <v>43333</v>
      </c>
      <c r="E7" s="10">
        <f>IF(DAY(AgoDom1)=1,AgoDom1+17,AgoDom1+24)</f>
        <v>43334</v>
      </c>
      <c r="F7" s="10">
        <f>IF(DAY(AgoDom1)=1,AgoDom1+18,AgoDom1+25)</f>
        <v>43335</v>
      </c>
      <c r="G7" s="10">
        <f>IF(DAY(AgoDom1)=1,AgoDom1+19,AgoDom1+26)</f>
        <v>43336</v>
      </c>
      <c r="H7" s="10">
        <f>IF(DAY(AgoDom1)=1,AgoDom1+20,AgoDom1+27)</f>
        <v>43337</v>
      </c>
      <c r="I7" s="10">
        <f>IF(DAY(AgoDom1)=1,AgoDom1+21,AgoDom1+28)</f>
        <v>43338</v>
      </c>
      <c r="J7" s="5"/>
      <c r="K7" s="11"/>
      <c r="L7" s="17"/>
      <c r="M7" s="66"/>
      <c r="N7" s="67"/>
    </row>
    <row r="8" spans="1:14" ht="18.75" customHeight="1">
      <c r="A8" s="4"/>
      <c r="B8" s="61"/>
      <c r="C8" s="10">
        <f>IF(DAY(AgoDom1)=1,AgoDom1+22,AgoDom1+29)</f>
        <v>43339</v>
      </c>
      <c r="D8" s="10">
        <f>IF(DAY(AgoDom1)=1,AgoDom1+23,AgoDom1+30)</f>
        <v>43340</v>
      </c>
      <c r="E8" s="10">
        <f>IF(DAY(AgoDom1)=1,AgoDom1+24,AgoDom1+31)</f>
        <v>43341</v>
      </c>
      <c r="F8" s="10">
        <f>IF(DAY(AgoDom1)=1,AgoDom1+25,AgoDom1+32)</f>
        <v>43342</v>
      </c>
      <c r="G8" s="10">
        <f>IF(DAY(AgoDom1)=1,AgoDom1+26,AgoDom1+33)</f>
        <v>43343</v>
      </c>
      <c r="H8" s="10">
        <f>IF(DAY(AgoDom1)=1,AgoDom1+27,AgoDom1+34)</f>
        <v>43344</v>
      </c>
      <c r="I8" s="10">
        <f>IF(DAY(AgoDom1)=1,AgoDom1+28,AgoDom1+35)</f>
        <v>43345</v>
      </c>
      <c r="J8" s="5"/>
      <c r="K8" s="11"/>
      <c r="L8" s="17"/>
      <c r="M8" s="66"/>
      <c r="N8" s="67"/>
    </row>
    <row r="9" spans="1:14" ht="18" customHeight="1">
      <c r="A9" s="4"/>
      <c r="B9" s="61"/>
      <c r="C9" s="10">
        <f>IF(DAY(AgoDom1)=1,AgoDom1+29,AgoDom1+36)</f>
        <v>43346</v>
      </c>
      <c r="D9" s="10">
        <f>IF(DAY(AgoDom1)=1,AgoDom1+30,AgoDom1+37)</f>
        <v>43347</v>
      </c>
      <c r="E9" s="10">
        <f>IF(DAY(AgoDom1)=1,AgoDom1+31,AgoDom1+38)</f>
        <v>43348</v>
      </c>
      <c r="F9" s="10">
        <f>IF(DAY(AgoDom1)=1,AgoDom1+32,AgoDom1+39)</f>
        <v>43349</v>
      </c>
      <c r="G9" s="10">
        <f>IF(DAY(AgoDom1)=1,AgoDom1+33,AgoDom1+40)</f>
        <v>43350</v>
      </c>
      <c r="H9" s="10">
        <f>IF(DAY(AgoDom1)=1,AgoDom1+34,AgoDom1+41)</f>
        <v>43351</v>
      </c>
      <c r="I9" s="10">
        <f>IF(DAY(AgoDom1)=1,AgoDom1+35,AgoDom1+42)</f>
        <v>43352</v>
      </c>
      <c r="J9" s="5"/>
      <c r="K9" s="12"/>
      <c r="L9" s="18"/>
      <c r="M9" s="70"/>
      <c r="N9" s="71"/>
    </row>
    <row r="10" spans="1:14" ht="18" customHeight="1">
      <c r="A10" s="4"/>
      <c r="B10" s="62"/>
      <c r="C10" s="23"/>
      <c r="D10" s="23"/>
      <c r="E10" s="23"/>
      <c r="F10" s="23"/>
      <c r="G10" s="23"/>
      <c r="H10" s="23"/>
      <c r="I10" s="23"/>
      <c r="J10" s="24"/>
      <c r="K10" s="95" t="s">
        <v>12</v>
      </c>
      <c r="L10" s="16"/>
      <c r="M10" s="72"/>
      <c r="N10" s="73"/>
    </row>
    <row r="11" spans="1:14" ht="18" customHeight="1">
      <c r="A11" s="4"/>
      <c r="B11" s="63" t="s">
        <v>10</v>
      </c>
      <c r="C11" s="64"/>
      <c r="D11" s="64"/>
      <c r="E11" s="64"/>
      <c r="F11" s="64"/>
      <c r="G11" s="64"/>
      <c r="H11" s="64"/>
      <c r="I11" s="64"/>
      <c r="J11" s="65"/>
      <c r="K11" s="96"/>
      <c r="L11" s="17"/>
      <c r="M11" s="66"/>
      <c r="N11" s="67"/>
    </row>
    <row r="12" spans="1:14" ht="18" customHeight="1">
      <c r="A12" s="4"/>
      <c r="B12" s="63"/>
      <c r="C12" s="64"/>
      <c r="D12" s="64"/>
      <c r="E12" s="64"/>
      <c r="F12" s="64"/>
      <c r="G12" s="64"/>
      <c r="H12" s="64"/>
      <c r="I12" s="64"/>
      <c r="J12" s="65"/>
      <c r="K12" s="96"/>
      <c r="L12" s="17"/>
      <c r="M12" s="66"/>
      <c r="N12" s="67"/>
    </row>
    <row r="13" spans="1:14" ht="18" customHeight="1">
      <c r="B13" s="3" t="s">
        <v>11</v>
      </c>
      <c r="C13" s="97" t="s">
        <v>12</v>
      </c>
      <c r="D13" s="99"/>
      <c r="E13" s="97" t="s">
        <v>13</v>
      </c>
      <c r="F13" s="99"/>
      <c r="G13" s="97" t="s">
        <v>14</v>
      </c>
      <c r="H13" s="99"/>
      <c r="I13" s="97" t="s">
        <v>15</v>
      </c>
      <c r="J13" s="98"/>
      <c r="K13" s="11"/>
      <c r="L13" s="17"/>
      <c r="M13" s="66"/>
      <c r="N13" s="67"/>
    </row>
    <row r="14" spans="1:14" ht="18" customHeight="1">
      <c r="B14" s="8"/>
      <c r="C14" s="74"/>
      <c r="D14" s="75"/>
      <c r="E14" s="74"/>
      <c r="F14" s="75"/>
      <c r="G14" s="74"/>
      <c r="H14" s="75"/>
      <c r="I14" s="74"/>
      <c r="J14" s="89"/>
      <c r="K14" s="11"/>
      <c r="L14" s="17"/>
      <c r="M14" s="66"/>
      <c r="N14" s="67"/>
    </row>
    <row r="15" spans="1:14" ht="18" customHeight="1">
      <c r="B15" s="6"/>
      <c r="C15" s="76"/>
      <c r="D15" s="77"/>
      <c r="E15" s="76"/>
      <c r="F15" s="77"/>
      <c r="G15" s="76"/>
      <c r="H15" s="77"/>
      <c r="I15" s="87"/>
      <c r="J15" s="88"/>
      <c r="K15" s="13"/>
      <c r="L15" s="19"/>
      <c r="M15" s="70"/>
      <c r="N15" s="71"/>
    </row>
    <row r="16" spans="1:14" ht="18" customHeight="1">
      <c r="B16" s="8"/>
      <c r="C16" s="74"/>
      <c r="D16" s="75"/>
      <c r="E16" s="74"/>
      <c r="F16" s="75"/>
      <c r="G16" s="74"/>
      <c r="H16" s="75"/>
      <c r="I16" s="83"/>
      <c r="J16" s="84"/>
      <c r="K16" s="109" t="s">
        <v>13</v>
      </c>
      <c r="L16" s="16"/>
      <c r="M16" s="72"/>
      <c r="N16" s="73"/>
    </row>
    <row r="17" spans="2:14" ht="18" customHeight="1">
      <c r="B17" s="6"/>
      <c r="C17" s="76"/>
      <c r="D17" s="77"/>
      <c r="E17" s="76"/>
      <c r="F17" s="77"/>
      <c r="G17" s="76"/>
      <c r="H17" s="77"/>
      <c r="I17" s="87"/>
      <c r="J17" s="88"/>
      <c r="K17" s="110"/>
      <c r="L17" s="17"/>
      <c r="M17" s="66"/>
      <c r="N17" s="67"/>
    </row>
    <row r="18" spans="2:14" ht="18" customHeight="1">
      <c r="B18" s="9"/>
      <c r="C18" s="92"/>
      <c r="D18" s="93"/>
      <c r="E18" s="92"/>
      <c r="F18" s="93"/>
      <c r="G18" s="92"/>
      <c r="H18" s="93"/>
      <c r="I18" s="92"/>
      <c r="J18" s="94"/>
      <c r="K18" s="110"/>
      <c r="L18" s="17"/>
      <c r="M18" s="66"/>
      <c r="N18" s="67"/>
    </row>
    <row r="19" spans="2:14" ht="18" customHeight="1">
      <c r="B19" s="6"/>
      <c r="C19" s="76"/>
      <c r="D19" s="77"/>
      <c r="E19" s="76"/>
      <c r="F19" s="77"/>
      <c r="G19" s="76"/>
      <c r="H19" s="77"/>
      <c r="I19" s="87"/>
      <c r="J19" s="88"/>
      <c r="K19" s="11"/>
      <c r="L19" s="17"/>
      <c r="M19" s="66"/>
      <c r="N19" s="67"/>
    </row>
    <row r="20" spans="2:14" ht="18" customHeight="1">
      <c r="B20" s="8"/>
      <c r="C20" s="74"/>
      <c r="D20" s="75"/>
      <c r="E20" s="74"/>
      <c r="F20" s="75"/>
      <c r="G20" s="74"/>
      <c r="H20" s="75"/>
      <c r="I20" s="74"/>
      <c r="J20" s="89"/>
      <c r="K20" s="11"/>
      <c r="L20" s="17"/>
      <c r="M20" s="66"/>
      <c r="N20" s="67"/>
    </row>
    <row r="21" spans="2:14" ht="18" customHeight="1">
      <c r="B21" s="6"/>
      <c r="C21" s="76"/>
      <c r="D21" s="77"/>
      <c r="E21" s="76"/>
      <c r="F21" s="77"/>
      <c r="G21" s="76"/>
      <c r="H21" s="77"/>
      <c r="I21" s="90"/>
      <c r="J21" s="91"/>
      <c r="K21" s="13"/>
      <c r="L21" s="19"/>
      <c r="M21" s="70"/>
      <c r="N21" s="71"/>
    </row>
    <row r="22" spans="2:14" ht="18" customHeight="1">
      <c r="B22" s="8"/>
      <c r="C22" s="74"/>
      <c r="D22" s="75"/>
      <c r="E22" s="74"/>
      <c r="F22" s="75"/>
      <c r="G22" s="74"/>
      <c r="H22" s="75"/>
      <c r="I22" s="74"/>
      <c r="J22" s="89"/>
      <c r="K22" s="109" t="s">
        <v>14</v>
      </c>
      <c r="L22" s="16"/>
      <c r="M22" s="72"/>
      <c r="N22" s="73"/>
    </row>
    <row r="23" spans="2:14" ht="18" customHeight="1">
      <c r="B23" s="6"/>
      <c r="C23" s="76"/>
      <c r="D23" s="77"/>
      <c r="E23" s="76"/>
      <c r="F23" s="77"/>
      <c r="G23" s="76"/>
      <c r="H23" s="77"/>
      <c r="I23" s="87"/>
      <c r="J23" s="88"/>
      <c r="K23" s="110"/>
      <c r="L23" s="17"/>
      <c r="M23" s="66"/>
      <c r="N23" s="67"/>
    </row>
    <row r="24" spans="2:14" ht="18" customHeight="1">
      <c r="B24" s="8"/>
      <c r="C24" s="74"/>
      <c r="D24" s="75"/>
      <c r="E24" s="74"/>
      <c r="F24" s="75"/>
      <c r="G24" s="74"/>
      <c r="H24" s="75"/>
      <c r="I24" s="74"/>
      <c r="J24" s="89"/>
      <c r="K24" s="110"/>
      <c r="L24" s="17"/>
      <c r="M24" s="66"/>
      <c r="N24" s="67"/>
    </row>
    <row r="25" spans="2:14" ht="18" customHeight="1">
      <c r="B25" s="6"/>
      <c r="C25" s="76"/>
      <c r="D25" s="77"/>
      <c r="E25" s="76"/>
      <c r="F25" s="77"/>
      <c r="G25" s="76"/>
      <c r="H25" s="77"/>
      <c r="I25" s="87"/>
      <c r="J25" s="88"/>
      <c r="K25" s="110"/>
      <c r="L25" s="17"/>
      <c r="M25" s="66"/>
      <c r="N25" s="67"/>
    </row>
    <row r="26" spans="2:14" ht="18" customHeight="1">
      <c r="B26" s="8"/>
      <c r="C26" s="74"/>
      <c r="D26" s="75"/>
      <c r="E26" s="74"/>
      <c r="F26" s="75"/>
      <c r="G26" s="74"/>
      <c r="H26" s="75"/>
      <c r="I26" s="74"/>
      <c r="J26" s="89"/>
      <c r="K26" s="11"/>
      <c r="L26" s="17"/>
      <c r="M26" s="66"/>
      <c r="N26" s="67"/>
    </row>
    <row r="27" spans="2:14" ht="18" customHeight="1">
      <c r="B27" s="6"/>
      <c r="C27" s="76"/>
      <c r="D27" s="77"/>
      <c r="E27" s="76"/>
      <c r="F27" s="77"/>
      <c r="G27" s="76"/>
      <c r="H27" s="77"/>
      <c r="I27" s="87"/>
      <c r="J27" s="88"/>
      <c r="K27" s="13"/>
      <c r="L27" s="19"/>
      <c r="M27" s="70"/>
      <c r="N27" s="71"/>
    </row>
    <row r="28" spans="2:14" ht="18" customHeight="1">
      <c r="B28" s="8"/>
      <c r="C28" s="74"/>
      <c r="D28" s="75"/>
      <c r="E28" s="74"/>
      <c r="F28" s="75"/>
      <c r="G28" s="74"/>
      <c r="H28" s="75"/>
      <c r="I28" s="74"/>
      <c r="J28" s="89"/>
      <c r="K28" s="95" t="s">
        <v>15</v>
      </c>
      <c r="L28" s="16"/>
      <c r="M28" s="72"/>
      <c r="N28" s="73"/>
    </row>
    <row r="29" spans="2:14" ht="18" customHeight="1">
      <c r="B29" s="6"/>
      <c r="C29" s="76"/>
      <c r="D29" s="77"/>
      <c r="E29" s="76"/>
      <c r="F29" s="77"/>
      <c r="G29" s="76"/>
      <c r="H29" s="77"/>
      <c r="I29" s="76"/>
      <c r="J29" s="82"/>
      <c r="K29" s="96"/>
      <c r="L29" s="17"/>
      <c r="M29" s="66"/>
      <c r="N29" s="67"/>
    </row>
    <row r="30" spans="2:14" ht="18" customHeight="1">
      <c r="B30" s="8"/>
      <c r="C30" s="74"/>
      <c r="D30" s="75"/>
      <c r="E30" s="74"/>
      <c r="F30" s="75"/>
      <c r="G30" s="74"/>
      <c r="H30" s="75"/>
      <c r="I30" s="80"/>
      <c r="J30" s="81"/>
      <c r="K30" s="96"/>
      <c r="L30" s="17"/>
      <c r="M30" s="66"/>
      <c r="N30" s="67"/>
    </row>
    <row r="31" spans="2:14" ht="18" customHeight="1">
      <c r="B31" s="6"/>
      <c r="C31" s="76"/>
      <c r="D31" s="77"/>
      <c r="E31" s="76"/>
      <c r="F31" s="77"/>
      <c r="G31" s="76"/>
      <c r="H31" s="77"/>
      <c r="I31" s="76"/>
      <c r="J31" s="82"/>
      <c r="K31" s="14"/>
      <c r="L31" s="17"/>
      <c r="M31" s="66"/>
      <c r="N31" s="67"/>
    </row>
    <row r="32" spans="2:14" ht="18" customHeight="1">
      <c r="B32" s="8"/>
      <c r="C32" s="74"/>
      <c r="D32" s="75"/>
      <c r="E32" s="74"/>
      <c r="F32" s="75"/>
      <c r="G32" s="74"/>
      <c r="H32" s="75"/>
      <c r="I32" s="83"/>
      <c r="J32" s="84"/>
      <c r="K32" s="14"/>
      <c r="L32" s="17"/>
      <c r="M32" s="66"/>
      <c r="N32" s="67"/>
    </row>
    <row r="33" spans="2:14" ht="18" customHeight="1">
      <c r="B33" s="7"/>
      <c r="C33" s="78"/>
      <c r="D33" s="79"/>
      <c r="E33" s="78"/>
      <c r="F33" s="79"/>
      <c r="G33" s="78"/>
      <c r="H33" s="79"/>
      <c r="I33" s="85"/>
      <c r="J33" s="86"/>
      <c r="K33" s="15"/>
      <c r="L33" s="20"/>
      <c r="M33" s="68"/>
      <c r="N33" s="69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7" priority="3" stopIfTrue="1">
      <formula>DAY(C4)&gt;8</formula>
    </cfRule>
  </conditionalFormatting>
  <conditionalFormatting sqref="C8:I10">
    <cfRule type="expression" dxfId="6" priority="2" stopIfTrue="1">
      <formula>AND(DAY(C8)&gt;=1,DAY(C8)&lt;=15)</formula>
    </cfRule>
  </conditionalFormatting>
  <conditionalFormatting sqref="C4:I9">
    <cfRule type="expression" dxfId="5" priority="4">
      <formula>VLOOKUP(DAY(C4),DíasDeTareas,1,FALSE)=DAY(C4)</formula>
    </cfRule>
  </conditionalFormatting>
  <conditionalFormatting sqref="B14:J33">
    <cfRule type="expression" dxfId="4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A1:AO33"/>
  <sheetViews>
    <sheetView showGridLines="0" topLeftCell="A9" zoomScaleNormal="100" zoomScalePageLayoutView="84" workbookViewId="0">
      <selection activeCell="L35" sqref="L35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0" t="s">
        <v>16</v>
      </c>
      <c r="C2" s="21"/>
      <c r="D2" s="21"/>
      <c r="E2" s="21"/>
      <c r="F2" s="21"/>
      <c r="G2" s="21"/>
      <c r="H2" s="21"/>
      <c r="I2" s="21"/>
      <c r="J2" s="22"/>
      <c r="K2" s="100" t="s">
        <v>3</v>
      </c>
      <c r="L2" s="101">
        <v>2013</v>
      </c>
      <c r="M2" s="101"/>
      <c r="N2" s="25"/>
    </row>
    <row r="3" spans="1:14" ht="21" customHeight="1">
      <c r="A3" s="4"/>
      <c r="B3" s="61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2"/>
      <c r="L3" s="103"/>
      <c r="M3" s="103"/>
      <c r="N3" s="26"/>
    </row>
    <row r="4" spans="1:14" ht="18" customHeight="1">
      <c r="A4" s="4"/>
      <c r="B4" s="61"/>
      <c r="C4" s="10">
        <f>IF(DAY(SepDom1)=1,SepDom1-6,SepDom1+1)</f>
        <v>43339</v>
      </c>
      <c r="D4" s="10">
        <f>IF(DAY(SepDom1)=1,SepDom1-5,SepDom1+2)</f>
        <v>43340</v>
      </c>
      <c r="E4" s="10">
        <f>IF(DAY(SepDom1)=1,SepDom1-4,SepDom1+3)</f>
        <v>43341</v>
      </c>
      <c r="F4" s="10">
        <f>IF(DAY(SepDom1)=1,SepDom1-3,SepDom1+4)</f>
        <v>43342</v>
      </c>
      <c r="G4" s="10">
        <f>IF(DAY(SepDom1)=1,SepDom1-2,SepDom1+5)</f>
        <v>43343</v>
      </c>
      <c r="H4" s="10">
        <f>IF(DAY(SepDom1)=1,SepDom1-1,SepDom1+6)</f>
        <v>43344</v>
      </c>
      <c r="I4" s="10">
        <f>IF(DAY(SepDom1)=1,SepDom1,SepDom1+7)</f>
        <v>43345</v>
      </c>
      <c r="J4" s="5"/>
      <c r="K4" s="104" t="s">
        <v>11</v>
      </c>
      <c r="L4" s="16"/>
      <c r="M4" s="105"/>
      <c r="N4" s="106"/>
    </row>
    <row r="5" spans="1:14" ht="18" customHeight="1">
      <c r="A5" s="4"/>
      <c r="B5" s="61"/>
      <c r="C5" s="10">
        <f>IF(DAY(SepDom1)=1,SepDom1+1,SepDom1+8)</f>
        <v>43346</v>
      </c>
      <c r="D5" s="10">
        <f>IF(DAY(SepDom1)=1,SepDom1+2,SepDom1+9)</f>
        <v>43347</v>
      </c>
      <c r="E5" s="10">
        <f>IF(DAY(SepDom1)=1,SepDom1+3,SepDom1+10)</f>
        <v>43348</v>
      </c>
      <c r="F5" s="10">
        <f>IF(DAY(SepDom1)=1,SepDom1+4,SepDom1+11)</f>
        <v>43349</v>
      </c>
      <c r="G5" s="10">
        <f>IF(DAY(SepDom1)=1,SepDom1+5,SepDom1+12)</f>
        <v>43350</v>
      </c>
      <c r="H5" s="10">
        <f>IF(DAY(SepDom1)=1,SepDom1+6,SepDom1+13)</f>
        <v>43351</v>
      </c>
      <c r="I5" s="10">
        <f>IF(DAY(SepDom1)=1,SepDom1+7,SepDom1+14)</f>
        <v>43352</v>
      </c>
      <c r="J5" s="5"/>
      <c r="K5" s="96"/>
      <c r="L5" s="17"/>
      <c r="M5" s="66"/>
      <c r="N5" s="67"/>
    </row>
    <row r="6" spans="1:14" ht="18" customHeight="1">
      <c r="A6" s="4"/>
      <c r="B6" s="61"/>
      <c r="C6" s="10">
        <f>IF(DAY(SepDom1)=1,SepDom1+8,SepDom1+15)</f>
        <v>43353</v>
      </c>
      <c r="D6" s="10">
        <f>IF(DAY(SepDom1)=1,SepDom1+9,SepDom1+16)</f>
        <v>43354</v>
      </c>
      <c r="E6" s="10">
        <f>IF(DAY(SepDom1)=1,SepDom1+10,SepDom1+17)</f>
        <v>43355</v>
      </c>
      <c r="F6" s="10">
        <f>IF(DAY(SepDom1)=1,SepDom1+11,SepDom1+18)</f>
        <v>43356</v>
      </c>
      <c r="G6" s="10">
        <f>IF(DAY(SepDom1)=1,SepDom1+12,SepDom1+19)</f>
        <v>43357</v>
      </c>
      <c r="H6" s="10">
        <f>IF(DAY(SepDom1)=1,SepDom1+13,SepDom1+20)</f>
        <v>43358</v>
      </c>
      <c r="I6" s="10">
        <f>IF(DAY(SepDom1)=1,SepDom1+14,SepDom1+21)</f>
        <v>43359</v>
      </c>
      <c r="J6" s="5"/>
      <c r="K6" s="96"/>
      <c r="L6" s="17"/>
      <c r="M6" s="66"/>
      <c r="N6" s="67"/>
    </row>
    <row r="7" spans="1:14" ht="18" customHeight="1">
      <c r="A7" s="4"/>
      <c r="B7" s="61"/>
      <c r="C7" s="10">
        <f>IF(DAY(SepDom1)=1,SepDom1+15,SepDom1+22)</f>
        <v>43360</v>
      </c>
      <c r="D7" s="10">
        <f>IF(DAY(SepDom1)=1,SepDom1+16,SepDom1+23)</f>
        <v>43361</v>
      </c>
      <c r="E7" s="10">
        <f>IF(DAY(SepDom1)=1,SepDom1+17,SepDom1+24)</f>
        <v>43362</v>
      </c>
      <c r="F7" s="10">
        <f>IF(DAY(SepDom1)=1,SepDom1+18,SepDom1+25)</f>
        <v>43363</v>
      </c>
      <c r="G7" s="10">
        <f>IF(DAY(SepDom1)=1,SepDom1+19,SepDom1+26)</f>
        <v>43364</v>
      </c>
      <c r="H7" s="10">
        <f>IF(DAY(SepDom1)=1,SepDom1+20,SepDom1+27)</f>
        <v>43365</v>
      </c>
      <c r="I7" s="10">
        <f>IF(DAY(SepDom1)=1,SepDom1+21,SepDom1+28)</f>
        <v>43366</v>
      </c>
      <c r="J7" s="5"/>
      <c r="K7" s="11"/>
      <c r="L7" s="17"/>
      <c r="M7" s="66"/>
      <c r="N7" s="67"/>
    </row>
    <row r="8" spans="1:14" ht="18.75" customHeight="1">
      <c r="A8" s="4"/>
      <c r="B8" s="61"/>
      <c r="C8" s="10">
        <f>IF(DAY(SepDom1)=1,SepDom1+22,SepDom1+29)</f>
        <v>43367</v>
      </c>
      <c r="D8" s="10">
        <f>IF(DAY(SepDom1)=1,SepDom1+23,SepDom1+30)</f>
        <v>43368</v>
      </c>
      <c r="E8" s="10">
        <f>IF(DAY(SepDom1)=1,SepDom1+24,SepDom1+31)</f>
        <v>43369</v>
      </c>
      <c r="F8" s="10">
        <f>IF(DAY(SepDom1)=1,SepDom1+25,SepDom1+32)</f>
        <v>43370</v>
      </c>
      <c r="G8" s="10">
        <f>IF(DAY(SepDom1)=1,SepDom1+26,SepDom1+33)</f>
        <v>43371</v>
      </c>
      <c r="H8" s="10">
        <f>IF(DAY(SepDom1)=1,SepDom1+27,SepDom1+34)</f>
        <v>43372</v>
      </c>
      <c r="I8" s="10">
        <f>IF(DAY(SepDom1)=1,SepDom1+28,SepDom1+35)</f>
        <v>43373</v>
      </c>
      <c r="J8" s="5"/>
      <c r="K8" s="11"/>
      <c r="L8" s="17"/>
      <c r="M8" s="66"/>
      <c r="N8" s="67"/>
    </row>
    <row r="9" spans="1:14" ht="18" customHeight="1">
      <c r="A9" s="4"/>
      <c r="B9" s="61"/>
      <c r="C9" s="10">
        <f>IF(DAY(SepDom1)=1,SepDom1+29,SepDom1+36)</f>
        <v>43374</v>
      </c>
      <c r="D9" s="10">
        <f>IF(DAY(SepDom1)=1,SepDom1+30,SepDom1+37)</f>
        <v>43375</v>
      </c>
      <c r="E9" s="10">
        <f>IF(DAY(SepDom1)=1,SepDom1+31,SepDom1+38)</f>
        <v>43376</v>
      </c>
      <c r="F9" s="10">
        <f>IF(DAY(SepDom1)=1,SepDom1+32,SepDom1+39)</f>
        <v>43377</v>
      </c>
      <c r="G9" s="10">
        <f>IF(DAY(SepDom1)=1,SepDom1+33,SepDom1+40)</f>
        <v>43378</v>
      </c>
      <c r="H9" s="10">
        <f>IF(DAY(SepDom1)=1,SepDom1+34,SepDom1+41)</f>
        <v>43379</v>
      </c>
      <c r="I9" s="10">
        <f>IF(DAY(SepDom1)=1,SepDom1+35,SepDom1+42)</f>
        <v>43380</v>
      </c>
      <c r="J9" s="5"/>
      <c r="K9" s="12"/>
      <c r="L9" s="18"/>
      <c r="M9" s="70"/>
      <c r="N9" s="71"/>
    </row>
    <row r="10" spans="1:14" ht="18" customHeight="1">
      <c r="A10" s="4"/>
      <c r="B10" s="62"/>
      <c r="C10" s="23"/>
      <c r="D10" s="23"/>
      <c r="E10" s="23"/>
      <c r="F10" s="23"/>
      <c r="G10" s="23"/>
      <c r="H10" s="23"/>
      <c r="I10" s="23"/>
      <c r="J10" s="24"/>
      <c r="K10" s="95" t="s">
        <v>12</v>
      </c>
      <c r="L10" s="16"/>
      <c r="M10" s="72"/>
      <c r="N10" s="73"/>
    </row>
    <row r="11" spans="1:14" ht="18" customHeight="1">
      <c r="A11" s="4"/>
      <c r="B11" s="63" t="s">
        <v>10</v>
      </c>
      <c r="C11" s="64"/>
      <c r="D11" s="64"/>
      <c r="E11" s="64"/>
      <c r="F11" s="64"/>
      <c r="G11" s="64"/>
      <c r="H11" s="64"/>
      <c r="I11" s="64"/>
      <c r="J11" s="65"/>
      <c r="K11" s="96"/>
      <c r="L11" s="17"/>
      <c r="M11" s="66"/>
      <c r="N11" s="67"/>
    </row>
    <row r="12" spans="1:14" ht="18" customHeight="1">
      <c r="A12" s="4"/>
      <c r="B12" s="63"/>
      <c r="C12" s="64"/>
      <c r="D12" s="64"/>
      <c r="E12" s="64"/>
      <c r="F12" s="64"/>
      <c r="G12" s="64"/>
      <c r="H12" s="64"/>
      <c r="I12" s="64"/>
      <c r="J12" s="65"/>
      <c r="K12" s="96"/>
      <c r="L12" s="17"/>
      <c r="M12" s="66"/>
      <c r="N12" s="67"/>
    </row>
    <row r="13" spans="1:14" ht="18" customHeight="1">
      <c r="B13" s="3" t="s">
        <v>11</v>
      </c>
      <c r="C13" s="97" t="s">
        <v>12</v>
      </c>
      <c r="D13" s="99"/>
      <c r="E13" s="97" t="s">
        <v>13</v>
      </c>
      <c r="F13" s="99"/>
      <c r="G13" s="97" t="s">
        <v>14</v>
      </c>
      <c r="H13" s="99"/>
      <c r="I13" s="97" t="s">
        <v>15</v>
      </c>
      <c r="J13" s="98"/>
      <c r="K13" s="11"/>
      <c r="L13" s="17"/>
      <c r="M13" s="66"/>
      <c r="N13" s="67"/>
    </row>
    <row r="14" spans="1:14" ht="18" customHeight="1">
      <c r="B14" s="8"/>
      <c r="C14" s="74"/>
      <c r="D14" s="75"/>
      <c r="E14" s="74"/>
      <c r="F14" s="75"/>
      <c r="G14" s="74"/>
      <c r="H14" s="75"/>
      <c r="I14" s="74"/>
      <c r="J14" s="89"/>
      <c r="K14" s="11"/>
      <c r="L14" s="17"/>
      <c r="M14" s="66"/>
      <c r="N14" s="67"/>
    </row>
    <row r="15" spans="1:14" ht="18" customHeight="1">
      <c r="B15" s="6"/>
      <c r="C15" s="76"/>
      <c r="D15" s="77"/>
      <c r="E15" s="76"/>
      <c r="F15" s="77"/>
      <c r="G15" s="76"/>
      <c r="H15" s="77"/>
      <c r="I15" s="87"/>
      <c r="J15" s="88"/>
      <c r="K15" s="13"/>
      <c r="L15" s="19"/>
      <c r="M15" s="70"/>
      <c r="N15" s="71"/>
    </row>
    <row r="16" spans="1:14" ht="18" customHeight="1">
      <c r="B16" s="8"/>
      <c r="C16" s="74"/>
      <c r="D16" s="75"/>
      <c r="E16" s="74"/>
      <c r="F16" s="75"/>
      <c r="G16" s="74"/>
      <c r="H16" s="75"/>
      <c r="I16" s="83"/>
      <c r="J16" s="84"/>
      <c r="K16" s="109" t="s">
        <v>13</v>
      </c>
      <c r="L16" s="16"/>
      <c r="M16" s="72"/>
      <c r="N16" s="73"/>
    </row>
    <row r="17" spans="2:14" ht="18" customHeight="1">
      <c r="B17" s="6"/>
      <c r="C17" s="76"/>
      <c r="D17" s="77"/>
      <c r="E17" s="76"/>
      <c r="F17" s="77"/>
      <c r="G17" s="76"/>
      <c r="H17" s="77"/>
      <c r="I17" s="87"/>
      <c r="J17" s="88"/>
      <c r="K17" s="110"/>
      <c r="L17" s="17"/>
      <c r="M17" s="66"/>
      <c r="N17" s="67"/>
    </row>
    <row r="18" spans="2:14" ht="18" customHeight="1">
      <c r="B18" s="9"/>
      <c r="C18" s="92"/>
      <c r="D18" s="93"/>
      <c r="E18" s="92"/>
      <c r="F18" s="93"/>
      <c r="G18" s="92"/>
      <c r="H18" s="93"/>
      <c r="I18" s="92"/>
      <c r="J18" s="94"/>
      <c r="K18" s="110"/>
      <c r="L18" s="17"/>
      <c r="M18" s="66"/>
      <c r="N18" s="67"/>
    </row>
    <row r="19" spans="2:14" ht="18" customHeight="1">
      <c r="B19" s="6"/>
      <c r="C19" s="76"/>
      <c r="D19" s="77"/>
      <c r="E19" s="76"/>
      <c r="F19" s="77"/>
      <c r="G19" s="76"/>
      <c r="H19" s="77"/>
      <c r="I19" s="87"/>
      <c r="J19" s="88"/>
      <c r="K19" s="11"/>
      <c r="L19" s="17"/>
      <c r="M19" s="66"/>
      <c r="N19" s="67"/>
    </row>
    <row r="20" spans="2:14" ht="18" customHeight="1">
      <c r="B20" s="8"/>
      <c r="C20" s="74"/>
      <c r="D20" s="75"/>
      <c r="E20" s="74"/>
      <c r="F20" s="75"/>
      <c r="G20" s="74"/>
      <c r="H20" s="75"/>
      <c r="I20" s="74"/>
      <c r="J20" s="89"/>
      <c r="K20" s="11"/>
      <c r="L20" s="17"/>
      <c r="M20" s="66"/>
      <c r="N20" s="67"/>
    </row>
    <row r="21" spans="2:14" ht="18" customHeight="1">
      <c r="B21" s="6"/>
      <c r="C21" s="76"/>
      <c r="D21" s="77"/>
      <c r="E21" s="76"/>
      <c r="F21" s="77"/>
      <c r="G21" s="76"/>
      <c r="H21" s="77"/>
      <c r="I21" s="90"/>
      <c r="J21" s="91"/>
      <c r="K21" s="13"/>
      <c r="L21" s="19"/>
      <c r="M21" s="70"/>
      <c r="N21" s="71"/>
    </row>
    <row r="22" spans="2:14" ht="18" customHeight="1">
      <c r="B22" s="8"/>
      <c r="C22" s="74"/>
      <c r="D22" s="75"/>
      <c r="E22" s="74"/>
      <c r="F22" s="75"/>
      <c r="G22" s="74"/>
      <c r="H22" s="75"/>
      <c r="I22" s="74"/>
      <c r="J22" s="89"/>
      <c r="K22" s="109" t="s">
        <v>14</v>
      </c>
      <c r="L22" s="16"/>
      <c r="M22" s="72"/>
      <c r="N22" s="73"/>
    </row>
    <row r="23" spans="2:14" ht="18" customHeight="1">
      <c r="B23" s="6"/>
      <c r="C23" s="76"/>
      <c r="D23" s="77"/>
      <c r="E23" s="76"/>
      <c r="F23" s="77"/>
      <c r="G23" s="76"/>
      <c r="H23" s="77"/>
      <c r="I23" s="87"/>
      <c r="J23" s="88"/>
      <c r="K23" s="110"/>
      <c r="L23" s="17"/>
      <c r="M23" s="66"/>
      <c r="N23" s="67"/>
    </row>
    <row r="24" spans="2:14" ht="18" customHeight="1">
      <c r="B24" s="8"/>
      <c r="C24" s="74"/>
      <c r="D24" s="75"/>
      <c r="E24" s="74"/>
      <c r="F24" s="75"/>
      <c r="G24" s="74"/>
      <c r="H24" s="75"/>
      <c r="I24" s="74"/>
      <c r="J24" s="89"/>
      <c r="K24" s="110"/>
      <c r="L24" s="17"/>
      <c r="M24" s="66"/>
      <c r="N24" s="67"/>
    </row>
    <row r="25" spans="2:14" ht="18" customHeight="1">
      <c r="B25" s="6"/>
      <c r="C25" s="76"/>
      <c r="D25" s="77"/>
      <c r="E25" s="76"/>
      <c r="F25" s="77"/>
      <c r="G25" s="76"/>
      <c r="H25" s="77"/>
      <c r="I25" s="87"/>
      <c r="J25" s="88"/>
      <c r="K25" s="110"/>
      <c r="L25" s="17"/>
      <c r="M25" s="66"/>
      <c r="N25" s="67"/>
    </row>
    <row r="26" spans="2:14" ht="18" customHeight="1">
      <c r="B26" s="8"/>
      <c r="C26" s="74"/>
      <c r="D26" s="75"/>
      <c r="E26" s="74"/>
      <c r="F26" s="75"/>
      <c r="G26" s="74"/>
      <c r="H26" s="75"/>
      <c r="I26" s="74"/>
      <c r="J26" s="89"/>
      <c r="K26" s="11"/>
      <c r="L26" s="17"/>
      <c r="M26" s="66"/>
      <c r="N26" s="67"/>
    </row>
    <row r="27" spans="2:14" ht="18" customHeight="1">
      <c r="B27" s="6"/>
      <c r="C27" s="76"/>
      <c r="D27" s="77"/>
      <c r="E27" s="76"/>
      <c r="F27" s="77"/>
      <c r="G27" s="76"/>
      <c r="H27" s="77"/>
      <c r="I27" s="87"/>
      <c r="J27" s="88"/>
      <c r="K27" s="13"/>
      <c r="L27" s="19"/>
      <c r="M27" s="70"/>
      <c r="N27" s="71"/>
    </row>
    <row r="28" spans="2:14" ht="18" customHeight="1">
      <c r="B28" s="8"/>
      <c r="C28" s="74"/>
      <c r="D28" s="75"/>
      <c r="E28" s="74"/>
      <c r="F28" s="75"/>
      <c r="G28" s="74"/>
      <c r="H28" s="75"/>
      <c r="I28" s="74"/>
      <c r="J28" s="89"/>
      <c r="K28" s="95" t="s">
        <v>15</v>
      </c>
      <c r="L28" s="16"/>
      <c r="M28" s="72"/>
      <c r="N28" s="73"/>
    </row>
    <row r="29" spans="2:14" ht="18" customHeight="1">
      <c r="B29" s="6"/>
      <c r="C29" s="76"/>
      <c r="D29" s="77"/>
      <c r="E29" s="76"/>
      <c r="F29" s="77"/>
      <c r="G29" s="76"/>
      <c r="H29" s="77"/>
      <c r="I29" s="76"/>
      <c r="J29" s="82"/>
      <c r="K29" s="96"/>
      <c r="L29" s="17"/>
      <c r="M29" s="66"/>
      <c r="N29" s="67"/>
    </row>
    <row r="30" spans="2:14" ht="18" customHeight="1">
      <c r="B30" s="8"/>
      <c r="C30" s="74"/>
      <c r="D30" s="75"/>
      <c r="E30" s="74"/>
      <c r="F30" s="75"/>
      <c r="G30" s="74"/>
      <c r="H30" s="75"/>
      <c r="I30" s="80"/>
      <c r="J30" s="81"/>
      <c r="K30" s="96"/>
      <c r="L30" s="17"/>
      <c r="M30" s="66"/>
      <c r="N30" s="67"/>
    </row>
    <row r="31" spans="2:14" ht="18" customHeight="1">
      <c r="B31" s="6"/>
      <c r="C31" s="76"/>
      <c r="D31" s="77"/>
      <c r="E31" s="76"/>
      <c r="F31" s="77"/>
      <c r="G31" s="76"/>
      <c r="H31" s="77"/>
      <c r="I31" s="76"/>
      <c r="J31" s="82"/>
      <c r="K31" s="14"/>
      <c r="L31" s="17"/>
      <c r="M31" s="66"/>
      <c r="N31" s="67"/>
    </row>
    <row r="32" spans="2:14" ht="18" customHeight="1">
      <c r="B32" s="8"/>
      <c r="C32" s="74"/>
      <c r="D32" s="75"/>
      <c r="E32" s="74"/>
      <c r="F32" s="75"/>
      <c r="G32" s="74"/>
      <c r="H32" s="75"/>
      <c r="I32" s="83"/>
      <c r="J32" s="84"/>
      <c r="K32" s="14"/>
      <c r="L32" s="17"/>
      <c r="M32" s="66"/>
      <c r="N32" s="67"/>
    </row>
    <row r="33" spans="2:14" ht="18" customHeight="1">
      <c r="B33" s="7"/>
      <c r="C33" s="78"/>
      <c r="D33" s="79"/>
      <c r="E33" s="78"/>
      <c r="F33" s="79"/>
      <c r="G33" s="78"/>
      <c r="H33" s="79"/>
      <c r="I33" s="85"/>
      <c r="J33" s="86"/>
      <c r="K33" s="15"/>
      <c r="L33" s="20"/>
      <c r="M33" s="68"/>
      <c r="N33" s="69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" priority="3" stopIfTrue="1">
      <formula>DAY(C4)&gt;8</formula>
    </cfRule>
  </conditionalFormatting>
  <conditionalFormatting sqref="C8:I10">
    <cfRule type="expression" dxfId="2" priority="2" stopIfTrue="1">
      <formula>AND(DAY(C8)&gt;=1,DAY(C8)&lt;=15)</formula>
    </cfRule>
  </conditionalFormatting>
  <conditionalFormatting sqref="C4:I9">
    <cfRule type="expression" dxfId="1" priority="4">
      <formula>VLOOKUP(DAY(C4),DíasDeTareas,1,FALSE)=DAY(C4)</formula>
    </cfRule>
  </conditionalFormatting>
  <conditionalFormatting sqref="B14:J33">
    <cfRule type="expression" dxfId="0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42A2AB2-C96A-4F1D-A896-B2666E5A28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28</vt:i4>
      </vt:variant>
    </vt:vector>
  </HeadingPairs>
  <TitlesOfParts>
    <vt:vector size="38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ABRIL 2021</vt:lpstr>
      <vt:lpstr>Año_Calendario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Septiembre!Área_de_impresión</vt:lpstr>
      <vt:lpstr>Abril!DíasDeTareas</vt:lpstr>
      <vt:lpstr>Agosto!DíasDeTareas</vt:lpstr>
      <vt:lpstr>Febrero!DíasDeTareas</vt:lpstr>
      <vt:lpstr>Julio!DíasDeTareas</vt:lpstr>
      <vt:lpstr>Junio!DíasDeTareas</vt:lpstr>
      <vt:lpstr>Marzo!DíasDeTareas</vt:lpstr>
      <vt:lpstr>Mayo!DíasDeTareas</vt:lpstr>
      <vt:lpstr>Septiembre!DíasDeTareas</vt:lpstr>
      <vt:lpstr>DíasDeTareas</vt:lpstr>
      <vt:lpstr>Abril!TablaFechasImportantes</vt:lpstr>
      <vt:lpstr>Agosto!TablaFechasImportantes</vt:lpstr>
      <vt:lpstr>Febrero!TablaFechasImportantes</vt:lpstr>
      <vt:lpstr>Julio!TablaFechasImportantes</vt:lpstr>
      <vt:lpstr>Junio!TablaFechasImportantes</vt:lpstr>
      <vt:lpstr>Marzo!TablaFechasImportantes</vt:lpstr>
      <vt:lpstr>Mayo!TablaFechasImportantes</vt:lpstr>
      <vt:lpstr>Septiembre!TablaFechasImportantes</vt:lpstr>
      <vt:lpstr>TablaFechasImportantes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Registro Civil Teco</cp:lastModifiedBy>
  <cp:lastPrinted>2021-04-28T17:26:24Z</cp:lastPrinted>
  <dcterms:created xsi:type="dcterms:W3CDTF">2015-11-13T18:10:35Z</dcterms:created>
  <dcterms:modified xsi:type="dcterms:W3CDTF">2021-05-03T19:33:48Z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TC025512749991</vt:lpwstr>
  </property>
</Properties>
</file>